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0610" windowHeight="10260" tabRatio="999" firstSheet="2" activeTab="5"/>
  </bookViews>
  <sheets>
    <sheet name="LES DETTE!" sheetId="1" r:id="rId1"/>
    <sheet name="OM OVERTID" sheetId="2" r:id="rId2"/>
    <sheet name="FORSIDE" sheetId="3" r:id="rId3"/>
    <sheet name="FORUTSETNINGER" sheetId="4" r:id="rId4"/>
    <sheet name="SAMMENDRAG" sheetId="5" r:id="rId5"/>
    <sheet name="KALKYLE" sheetId="6" r:id="rId6"/>
    <sheet name="SPESIFIKASJONER" sheetId="7" r:id="rId7"/>
    <sheet name="ESTIMATSAMMENDRAG" sheetId="8" r:id="rId8"/>
    <sheet name="ESTIMAT" sheetId="9" r:id="rId9"/>
    <sheet name="ESTIMATSPES" sheetId="10" r:id="rId10"/>
    <sheet name="RAPPORT" sheetId="11" r:id="rId11"/>
    <sheet name="BOKFØRT" sheetId="12" r:id="rId12"/>
    <sheet name="LISTE" sheetId="13" state="hidden" r:id="rId13"/>
  </sheets>
  <definedNames>
    <definedName name="Administrasjon" localSheetId="8">'ESTIMAT'!$A$873</definedName>
    <definedName name="Administrasjon">'KALKYLE'!$A$873</definedName>
    <definedName name="Bokf10">'BOKFØRT'!$C$33</definedName>
    <definedName name="Bokf11">'BOKFØRT'!$C$100</definedName>
    <definedName name="Bokf21">'BOKFØRT'!$C$151</definedName>
    <definedName name="Bokf31">'BOKFØRT'!$C$236</definedName>
    <definedName name="Bokf32">'BOKFØRT'!$C$262</definedName>
    <definedName name="Bokf33">'BOKFØRT'!$C$333</definedName>
    <definedName name="Bokf34">'BOKFØRT'!$C$372</definedName>
    <definedName name="Bokf35">'BOKFØRT'!$C$402</definedName>
    <definedName name="Bokf36">'BOKFØRT'!$C$435</definedName>
    <definedName name="Bokf37">'BOKFØRT'!$C$469</definedName>
    <definedName name="Bokf38">'BOKFØRT'!$C$511</definedName>
    <definedName name="Bokf39">'BOKFØRT'!$C$538</definedName>
    <definedName name="Bokf40">'BOKFØRT'!$C$559</definedName>
    <definedName name="Bokf41">'BOKFØRT'!$C$583</definedName>
    <definedName name="Bokf42">'BOKFØRT'!$C$641</definedName>
    <definedName name="Bokf44">'BOKFØRT'!$C$665</definedName>
    <definedName name="Bokf51">'BOKFØRT'!$C$708</definedName>
    <definedName name="Bokf52">'BOKFØRT'!$C$733</definedName>
    <definedName name="Bokf53">'BOKFØRT'!$C$772</definedName>
    <definedName name="Bokf54">'BOKFØRT'!$C$796</definedName>
    <definedName name="Bokf55">'BOKFØRT'!$C$825</definedName>
    <definedName name="Bokf56">'BOKFØRT'!$C$871</definedName>
    <definedName name="Bokf61">'BOKFØRT'!$C$930</definedName>
    <definedName name="Bokf62">'BOKFØRT'!$C$934</definedName>
    <definedName name="DEK">'FORUTSETNINGER'!$C$47</definedName>
    <definedName name="Dekor" localSheetId="8">'ESTIMAT'!$A$264</definedName>
    <definedName name="Dekor">'KALKYLE'!$A$264</definedName>
    <definedName name="Digitale_effekter" localSheetId="8">'ESTIMAT'!$A$798</definedName>
    <definedName name="Digitale_effekter">'KALKYLE'!$A$798</definedName>
    <definedName name="EURO">'FORUTSETNINGER'!$C$50</definedName>
    <definedName name="FMVA">'KALKYLE'!$K:$K</definedName>
    <definedName name="FMVAE">'ESTIMAT'!$K:$K</definedName>
    <definedName name="FOR" localSheetId="11">Forside</definedName>
    <definedName name="FOR" localSheetId="8">Forside</definedName>
    <definedName name="FOR" localSheetId="7">Forside</definedName>
    <definedName name="FOR" localSheetId="9">Forside</definedName>
    <definedName name="FOR">Forside</definedName>
    <definedName name="Forarbeid" localSheetId="8">'ESTIMAT'!$A$102</definedName>
    <definedName name="Forarbeid">'KALKYLE'!$A$102</definedName>
    <definedName name="Foto" localSheetId="8">'ESTIMAT'!$A$471</definedName>
    <definedName name="Foto">'KALKYLE'!$A$471</definedName>
    <definedName name="GBP">'FORUTSETNINGER'!$C$49</definedName>
    <definedName name="Grip" localSheetId="8">'ESTIMAT'!$A$540</definedName>
    <definedName name="Grip">'KALKYLE'!$A$540</definedName>
    <definedName name="Klipp" localSheetId="8">'ESTIMAT'!$A$710</definedName>
    <definedName name="Klipp">'KALKYLE'!$A$710</definedName>
    <definedName name="Kopi">'FORUTSETNINGER'!$E$24</definedName>
    <definedName name="Kostyme" localSheetId="8">'ESTIMAT'!$A$404</definedName>
    <definedName name="Kostyme">'KALKYLE'!$A$404</definedName>
    <definedName name="Laboratorium" localSheetId="8">'ESTIMAT'!$A$827</definedName>
    <definedName name="Laboratorium">'KALKYLE'!$A$827</definedName>
    <definedName name="LavMVAsats">'FORUTSETNINGER'!$E$42</definedName>
    <definedName name="Lengde">'FORUTSETNINGER'!$E$25</definedName>
    <definedName name="likvid">'LISTE'!$C$40</definedName>
    <definedName name="Loc">'FORUTSETNINGER'!$E$18</definedName>
    <definedName name="Lydetterarbeid" localSheetId="8">'ESTIMAT'!$A$735</definedName>
    <definedName name="Lydetterarbeid">'KALKYLE'!$A$735</definedName>
    <definedName name="Lys" localSheetId="8">'ESTIMAT'!$A$513</definedName>
    <definedName name="Lys">'KALKYLE'!$A$513</definedName>
    <definedName name="Manuskriptutvikling" localSheetId="8">'ESTIMAT'!$A$7</definedName>
    <definedName name="Manuskriptutvikling">'KALKYLE'!$A$7</definedName>
    <definedName name="Me" localSheetId="11">'KALKYLE'!$D:$D</definedName>
    <definedName name="Me" localSheetId="8">'ESTIMAT'!$D:$D</definedName>
    <definedName name="Me">'KALKYLE'!$D:$D</definedName>
    <definedName name="Musikk" localSheetId="8">'ESTIMAT'!$A$774</definedName>
    <definedName name="Musikk">'KALKYLE'!$A$774</definedName>
    <definedName name="mva">'FORUTSETNINGER'!$N$2</definedName>
    <definedName name="Mva_10" localSheetId="8">'ESTIMAT'!$L$33</definedName>
    <definedName name="Mva_10" localSheetId="5">'KALKYLE'!$L$33</definedName>
    <definedName name="Mva_10">'KALKYLE'!$L$33</definedName>
    <definedName name="Mva_11" localSheetId="8">'ESTIMAT'!$L$100</definedName>
    <definedName name="Mva_11" localSheetId="5">'KALKYLE'!$L$100</definedName>
    <definedName name="Mva_11">'KALKYLE'!$L$100</definedName>
    <definedName name="Mva_21" localSheetId="8">'ESTIMAT'!$L$151</definedName>
    <definedName name="Mva_21" localSheetId="5">'KALKYLE'!$L$151</definedName>
    <definedName name="Mva_21">'KALKYLE'!$L$151</definedName>
    <definedName name="Mva_31" localSheetId="8">'ESTIMAT'!$L$236</definedName>
    <definedName name="Mva_31" localSheetId="5">'KALKYLE'!$L$236</definedName>
    <definedName name="Mva_31">'KALKYLE'!$L$236</definedName>
    <definedName name="Mva_32" localSheetId="8">'ESTIMAT'!$L$262</definedName>
    <definedName name="Mva_32" localSheetId="5">'KALKYLE'!$L$262</definedName>
    <definedName name="Mva_32">'KALKYLE'!$L$262</definedName>
    <definedName name="Mva_33" localSheetId="8">'ESTIMAT'!$L$333</definedName>
    <definedName name="Mva_33" localSheetId="5">'KALKYLE'!$L$333</definedName>
    <definedName name="Mva_33">'KALKYLE'!$L$333</definedName>
    <definedName name="Mva_34" localSheetId="8">'ESTIMAT'!$L$372</definedName>
    <definedName name="Mva_34" localSheetId="5">'KALKYLE'!$L$372</definedName>
    <definedName name="Mva_34">'KALKYLE'!$L$372</definedName>
    <definedName name="Mva_35" localSheetId="8">'ESTIMAT'!$L$402</definedName>
    <definedName name="Mva_35" localSheetId="5">'KALKYLE'!$L$402</definedName>
    <definedName name="Mva_35">'KALKYLE'!$L$402</definedName>
    <definedName name="Mva_36" localSheetId="8">'ESTIMAT'!$L$435</definedName>
    <definedName name="Mva_36" localSheetId="5">'KALKYLE'!$L$435</definedName>
    <definedName name="Mva_36">'KALKYLE'!$L$435</definedName>
    <definedName name="Mva_37" localSheetId="8">'ESTIMAT'!$L$469</definedName>
    <definedName name="Mva_37" localSheetId="5">'KALKYLE'!$L$469</definedName>
    <definedName name="Mva_37">'KALKYLE'!$L$469</definedName>
    <definedName name="Mva_38" localSheetId="8">'ESTIMAT'!$L$511</definedName>
    <definedName name="Mva_38" localSheetId="5">'KALKYLE'!$L$511</definedName>
    <definedName name="Mva_38">'KALKYLE'!$L$511</definedName>
    <definedName name="Mva_39" localSheetId="8">'ESTIMAT'!$L$538</definedName>
    <definedName name="Mva_39" localSheetId="5">'KALKYLE'!$L$538</definedName>
    <definedName name="Mva_39">'KALKYLE'!$L$538</definedName>
    <definedName name="Mva_40" localSheetId="8">'ESTIMAT'!$L$559</definedName>
    <definedName name="Mva_40" localSheetId="5">'KALKYLE'!$L$559</definedName>
    <definedName name="Mva_40">'KALKYLE'!$L$559</definedName>
    <definedName name="Mva_41" localSheetId="8">'ESTIMAT'!$L$583</definedName>
    <definedName name="Mva_41" localSheetId="5">'KALKYLE'!$L$583</definedName>
    <definedName name="Mva_41">'KALKYLE'!$L$583</definedName>
    <definedName name="Mva_42" localSheetId="8">'ESTIMAT'!$L$641</definedName>
    <definedName name="Mva_42" localSheetId="5">'KALKYLE'!$L$641</definedName>
    <definedName name="Mva_42">'KALKYLE'!$L$641</definedName>
    <definedName name="Mva_44" localSheetId="8">'ESTIMAT'!$L$665</definedName>
    <definedName name="Mva_44" localSheetId="5">'KALKYLE'!$L$665</definedName>
    <definedName name="Mva_44">'KALKYLE'!$L$665</definedName>
    <definedName name="Mva_51" localSheetId="8">'ESTIMAT'!$L$708</definedName>
    <definedName name="Mva_51" localSheetId="5">'KALKYLE'!$L$708</definedName>
    <definedName name="Mva_51">'KALKYLE'!$L$708</definedName>
    <definedName name="Mva_52" localSheetId="8">'ESTIMAT'!$L$733</definedName>
    <definedName name="Mva_52" localSheetId="5">'KALKYLE'!$L$733</definedName>
    <definedName name="Mva_52">'KALKYLE'!$L$733</definedName>
    <definedName name="Mva_53" localSheetId="8">'ESTIMAT'!$L$772</definedName>
    <definedName name="Mva_53" localSheetId="5">'KALKYLE'!$L$772</definedName>
    <definedName name="Mva_53">'KALKYLE'!$L$772</definedName>
    <definedName name="Mva_54" localSheetId="8">'ESTIMAT'!$L$796</definedName>
    <definedName name="Mva_54" localSheetId="5">'KALKYLE'!$L$796</definedName>
    <definedName name="Mva_54">'KALKYLE'!$L$796</definedName>
    <definedName name="Mva_55" localSheetId="8">'ESTIMAT'!$L$825</definedName>
    <definedName name="Mva_55" localSheetId="5">'KALKYLE'!$L$825</definedName>
    <definedName name="Mva_55">'KALKYLE'!$L$825</definedName>
    <definedName name="Mva_56" localSheetId="8">'ESTIMAT'!$L$871</definedName>
    <definedName name="Mva_56" localSheetId="5">'KALKYLE'!$L$871</definedName>
    <definedName name="Mva_56">'KALKYLE'!$L$871</definedName>
    <definedName name="Mva_61" localSheetId="8">'ESTIMAT'!$L$930</definedName>
    <definedName name="Mva_61" localSheetId="5">'KALKYLE'!$L$930</definedName>
    <definedName name="Mva_61">'KALKYLE'!$L$930</definedName>
    <definedName name="mvalav">'FORUTSETNINGER'!$N$3</definedName>
    <definedName name="MVAsats">'FORUTSETNINGER'!$E$41</definedName>
    <definedName name="nofor">'LISTE'!$C$35</definedName>
    <definedName name="nokalk">'LISTE'!$C$34</definedName>
    <definedName name="nopre">'LISTE'!$C$36</definedName>
    <definedName name="nosam">'LISTE'!$C$37</definedName>
    <definedName name="OMR_1" localSheetId="5">'KALKYLE'!$C$8:$F$649</definedName>
    <definedName name="OMR_1">'ESTIMAT'!$C$8:$F$649</definedName>
    <definedName name="OMR_10" localSheetId="5">'KALKYLE'!$K$8:$K$929</definedName>
    <definedName name="OMR_10">'ESTIMAT'!$K$8:$K$929</definedName>
    <definedName name="OMR_2" localSheetId="5">'KALKYLE'!$D$650:$F$653</definedName>
    <definedName name="OMR_2">'ESTIMAT'!$D$650:$F$653</definedName>
    <definedName name="OMR_3" localSheetId="5">'KALKYLE'!$C$654:$F$660</definedName>
    <definedName name="OMR_3">'ESTIMAT'!$C$654:$F$660</definedName>
    <definedName name="OMR_4" localSheetId="5">'KALKYLE'!$D$661:$F$661</definedName>
    <definedName name="OMR_4">'ESTIMAT'!$D$661:$F$661</definedName>
    <definedName name="OMR_5" localSheetId="5">'KALKYLE'!$C$662:$F$662</definedName>
    <definedName name="OMR_5">'ESTIMAT'!$C$662:$F$662</definedName>
    <definedName name="OMR_6" localSheetId="5">'KALKYLE'!$D$663:$F$663</definedName>
    <definedName name="OMR_6">'ESTIMAT'!$D$663:$F$663</definedName>
    <definedName name="OMR_7" localSheetId="5">'KALKYLE'!$C$664:$F$934</definedName>
    <definedName name="OMR_7">'ESTIMAT'!$C$664:$F$929</definedName>
    <definedName name="OMR_8" localSheetId="5">'KALKYLE'!$G$8:$G$934</definedName>
    <definedName name="OMR_8">'ESTIMAT'!$N$8:$N$934</definedName>
    <definedName name="OMR_9">'ESTIMAT'!$A$7:$Q$942</definedName>
    <definedName name="Opptak">'FORUTSETNINGER'!$E$21</definedName>
    <definedName name="Opptakslyd" localSheetId="8">'ESTIMAT'!$A$561</definedName>
    <definedName name="Opptakslyd">'KALKYLE'!$A$561</definedName>
    <definedName name="PRE" localSheetId="11">Premisser</definedName>
    <definedName name="PRE" localSheetId="8">Premisser</definedName>
    <definedName name="PRE" localSheetId="7">Premisser</definedName>
    <definedName name="PRE" localSheetId="9">Premisser</definedName>
    <definedName name="PRE">Premisser</definedName>
    <definedName name="Produksjon" localSheetId="8">'ESTIMAT'!$A$153</definedName>
    <definedName name="Produksjon">'KALKYLE'!$A$153</definedName>
    <definedName name="Produksjonetterarbeid" localSheetId="8">'ESTIMAT'!$A$667</definedName>
    <definedName name="Produksjonetterarbeid">'KALKYLE'!$A$667</definedName>
    <definedName name="Prosent" localSheetId="8">'ESTIMAT'!$H:$H</definedName>
    <definedName name="Prosent">'KALKYLE'!$H:$H</definedName>
    <definedName name="Prosjektutvikling" localSheetId="8">'ESTIMAT'!$A$35</definedName>
    <definedName name="Prosjektutvikling">'KALKYLE'!$A$35</definedName>
    <definedName name="rapp">'LISTE'!$C$41</definedName>
    <definedName name="Regi" localSheetId="8">'ESTIMAT'!$A$238</definedName>
    <definedName name="Regi">'KALKYLE'!$A$238</definedName>
    <definedName name="Reise">'FORUTSETNINGER'!$E$20</definedName>
    <definedName name="Reiser_transport" localSheetId="8">'ESTIMAT'!$A$643</definedName>
    <definedName name="Reiser_transport">'KALKYLE'!$A$643</definedName>
    <definedName name="Rekvisitt">'RAPPORT'!$D$15</definedName>
    <definedName name="Rekvisitter" localSheetId="8">'ESTIMAT'!$A$335</definedName>
    <definedName name="Rekvisitter">'KALKYLE'!$A$335</definedName>
    <definedName name="Råfilm">'FORUTSETNINGER'!$E$23</definedName>
    <definedName name="Sa" localSheetId="11">'KALKYLE'!$F:$F</definedName>
    <definedName name="Sa" localSheetId="8">'ESTIMAT'!$F:$F</definedName>
    <definedName name="Sa">'KALKYLE'!$F:$F</definedName>
    <definedName name="SAM" localSheetId="11">SAMMENDRAG</definedName>
    <definedName name="SAM" localSheetId="8">SAMMENDRAG</definedName>
    <definedName name="SAM" localSheetId="7">SAMMENDRAG</definedName>
    <definedName name="SAM" localSheetId="9">SAMMENDRAG</definedName>
    <definedName name="SAM">SAMMENDRAG</definedName>
    <definedName name="SEK">'FORUTSETNINGER'!$C$46</definedName>
    <definedName name="Siste_celle" localSheetId="8">'ESTIMAT'!$L$942</definedName>
    <definedName name="Siste_celle">'KALKYLE'!$L$942</definedName>
    <definedName name="skkalk">'LISTE'!$C$38</definedName>
    <definedName name="sksam">'LISTE'!$C$39</definedName>
    <definedName name="Skuespillere" localSheetId="8">'ESTIMAT'!$A$585</definedName>
    <definedName name="Skuespillere">'KALKYLE'!$A$585</definedName>
    <definedName name="Sminke" localSheetId="8">'ESTIMAT'!$A$437</definedName>
    <definedName name="Sminke">'KALKYLE'!$A$437</definedName>
    <definedName name="Sos">'FORUTSETNINGER'!$E$43</definedName>
    <definedName name="Specialeffects" localSheetId="8">'ESTIMAT'!$A$374</definedName>
    <definedName name="Specialeffects">'KALKYLE'!$A$374</definedName>
    <definedName name="Start" localSheetId="8">'ESTIMAT'!$A$6</definedName>
    <definedName name="Start">'KALKYLE'!$A$6</definedName>
    <definedName name="Sum" localSheetId="8">'ESTIMAT'!$G:$G</definedName>
    <definedName name="Sum">'KALKYLE'!$G:$G</definedName>
    <definedName name="Sum_10">'KALKYLE'!$G$33</definedName>
    <definedName name="Sum_11">'KALKYLE'!$G$100</definedName>
    <definedName name="Sum_21">'KALKYLE'!$G$151</definedName>
    <definedName name="Sum_31">'KALKYLE'!$G$236</definedName>
    <definedName name="Sum_32">'KALKYLE'!$G$262</definedName>
    <definedName name="Sum_33">'KALKYLE'!$G$333</definedName>
    <definedName name="Sum_34">'KALKYLE'!$G$372</definedName>
    <definedName name="Sum_35">'KALKYLE'!$G$402</definedName>
    <definedName name="Sum_36">'KALKYLE'!$G$435</definedName>
    <definedName name="Sum_37">'KALKYLE'!$G$469</definedName>
    <definedName name="Sum_38">'KALKYLE'!$G$511</definedName>
    <definedName name="Sum_39">'KALKYLE'!$G$538</definedName>
    <definedName name="Sum_40">'KALKYLE'!$G$559</definedName>
    <definedName name="Sum_41">'KALKYLE'!$G$583</definedName>
    <definedName name="Sum_42">'KALKYLE'!$G$641</definedName>
    <definedName name="Sum_44">'KALKYLE'!$G$665</definedName>
    <definedName name="Sum_51">'KALKYLE'!$G$708</definedName>
    <definedName name="Sum_52">'KALKYLE'!$G$733</definedName>
    <definedName name="Sum_53">'KALKYLE'!$G$772</definedName>
    <definedName name="Sum_54">'KALKYLE'!$G$796</definedName>
    <definedName name="Sum_55">'KALKYLE'!$G$825</definedName>
    <definedName name="Sum_56">'KALKYLE'!$G$871</definedName>
    <definedName name="Sum_61">'KALKYLE'!$G$930</definedName>
    <definedName name="Sum_62">'KALKYLE'!$G$934</definedName>
    <definedName name="SumSK10">'ESTIMAT'!$G$33</definedName>
    <definedName name="SumSK11">'ESTIMAT'!$G$100</definedName>
    <definedName name="SumSK21">'ESTIMAT'!$G$151</definedName>
    <definedName name="SumSK31">'ESTIMAT'!$G$236</definedName>
    <definedName name="SumSK32">'ESTIMAT'!$G$262</definedName>
    <definedName name="SumSK33">'ESTIMAT'!$G$333</definedName>
    <definedName name="SumSK34">'ESTIMAT'!$G$372</definedName>
    <definedName name="SumSK35">'ESTIMAT'!$G$402</definedName>
    <definedName name="SumSK36">'ESTIMAT'!$G$435</definedName>
    <definedName name="SumSK37">'ESTIMAT'!$G$469</definedName>
    <definedName name="SumSK38">'ESTIMAT'!$G$511</definedName>
    <definedName name="SumSK39">'ESTIMAT'!$G$538</definedName>
    <definedName name="SumSK40">'ESTIMAT'!$G$559</definedName>
    <definedName name="SumSK41">'ESTIMAT'!$G$583</definedName>
    <definedName name="SumSK42">'ESTIMAT'!$G$641</definedName>
    <definedName name="SumSK44">'ESTIMAT'!$G$665</definedName>
    <definedName name="SumSK51">'ESTIMAT'!$G$708</definedName>
    <definedName name="SumSK52">'ESTIMAT'!$G$733</definedName>
    <definedName name="SumSK53">'ESTIMAT'!$G$772</definedName>
    <definedName name="SumSK54">'ESTIMAT'!$G$796</definedName>
    <definedName name="SumSK55">'ESTIMAT'!$G$825</definedName>
    <definedName name="SumSK56">'ESTIMAT'!$G$871</definedName>
    <definedName name="SumSK61">'ESTIMAT'!$G$930</definedName>
    <definedName name="SumSK62">'ESTIMAT'!$G$934</definedName>
    <definedName name="TOTAL">'SAMMENDRAG'!$F$38</definedName>
    <definedName name="TOTALEST">'ESTIMATSAMMENDRAG'!$F$38</definedName>
    <definedName name="Uforutsette" localSheetId="8">'ESTIMAT'!$A$932</definedName>
    <definedName name="Uforutsette">'KALKYLE'!$A$932</definedName>
    <definedName name="Uker">'FORUTSETNINGER'!$G$21</definedName>
    <definedName name="USD">'FORUTSETNINGER'!$C$48</definedName>
    <definedName name="Ut_10" localSheetId="8">'ESTIMAT'!$A$7:$L$34</definedName>
    <definedName name="Ut_10">'KALKYLE'!$A$7:$L$34</definedName>
    <definedName name="Ut_11" localSheetId="8">'ESTIMAT'!$A$35:$L$101</definedName>
    <definedName name="Ut_11">'KALKYLE'!$A$35:$L$101</definedName>
    <definedName name="Ut_21" localSheetId="8">'ESTIMAT'!$A$102:$L$152</definedName>
    <definedName name="Ut_21">'KALKYLE'!$A$102:$L$152</definedName>
    <definedName name="Ut_31" localSheetId="8">'ESTIMAT'!$A$153:$L$237</definedName>
    <definedName name="Ut_31">'KALKYLE'!$A$153:$L$237</definedName>
    <definedName name="Ut_32" localSheetId="8">'ESTIMAT'!$A$238:$L$263</definedName>
    <definedName name="Ut_32">'KALKYLE'!$A$238:$L$263</definedName>
    <definedName name="Ut_33" localSheetId="8">'ESTIMAT'!$A$264:$L$334</definedName>
    <definedName name="Ut_33">'KALKYLE'!$A$264:$L$334</definedName>
    <definedName name="Ut_34" localSheetId="8">'ESTIMAT'!$A$335:$L$373</definedName>
    <definedName name="Ut_34">'KALKYLE'!$A$335:$L$373</definedName>
    <definedName name="Ut_35" localSheetId="8">'ESTIMAT'!$A$374:$L$403</definedName>
    <definedName name="Ut_35">'KALKYLE'!$A$374:$L$403</definedName>
    <definedName name="Ut_36" localSheetId="8">'ESTIMAT'!$A$404:$L$436</definedName>
    <definedName name="Ut_36">'KALKYLE'!$A$404:$L$436</definedName>
    <definedName name="Ut_37" localSheetId="8">'ESTIMAT'!$A$437:$L$470</definedName>
    <definedName name="Ut_37">'KALKYLE'!$A$437:$L$470</definedName>
    <definedName name="Ut_38" localSheetId="8">'ESTIMAT'!$A$471:$L$512</definedName>
    <definedName name="Ut_38">'KALKYLE'!$A$471:$L$512</definedName>
    <definedName name="Ut_39" localSheetId="8">'ESTIMAT'!$A$513:$L$539</definedName>
    <definedName name="Ut_39">'KALKYLE'!$A$513:$L$539</definedName>
    <definedName name="Ut_40" localSheetId="8">'ESTIMAT'!$A$540:$L$560</definedName>
    <definedName name="Ut_40">'KALKYLE'!$A$540:$L$560</definedName>
    <definedName name="Ut_41" localSheetId="8">'ESTIMAT'!$A$561:$L$584</definedName>
    <definedName name="Ut_41">'KALKYLE'!$A$561:$L$584</definedName>
    <definedName name="Ut_42" localSheetId="8">'ESTIMAT'!$A$585:$L$642</definedName>
    <definedName name="Ut_42">'KALKYLE'!$A$585:$L$642</definedName>
    <definedName name="Ut_44" localSheetId="8">'ESTIMAT'!$A$643:$L$665</definedName>
    <definedName name="Ut_44">'KALKYLE'!$A$643:$L$666</definedName>
    <definedName name="Ut_51" localSheetId="8">'ESTIMAT'!$A$667:$L$709</definedName>
    <definedName name="Ut_51">'KALKYLE'!$A$667:$L$709</definedName>
    <definedName name="Ut_52" localSheetId="8">'ESTIMAT'!$A$710:$L$734</definedName>
    <definedName name="Ut_52">'KALKYLE'!$A$710:$L$734</definedName>
    <definedName name="Ut_53" localSheetId="8">'ESTIMAT'!$A$735:$L$773</definedName>
    <definedName name="Ut_53">'KALKYLE'!$A$735:$L$773</definedName>
    <definedName name="Ut_54" localSheetId="8">'ESTIMAT'!$A$774:$L$797</definedName>
    <definedName name="Ut_54">'KALKYLE'!$A$774:$L$797</definedName>
    <definedName name="Ut_55" localSheetId="8">'ESTIMAT'!$A$798:$L$826</definedName>
    <definedName name="Ut_55">'KALKYLE'!$A$798:$L$826</definedName>
    <definedName name="Ut_56" localSheetId="8">'ESTIMAT'!$A$827:$L$872</definedName>
    <definedName name="Ut_56">'KALKYLE'!$A$827:$L$872</definedName>
    <definedName name="Ut_61" localSheetId="8">'ESTIMAT'!$A$873:$L$931</definedName>
    <definedName name="Ut_61">'KALKYLE'!$A$873:$L$931</definedName>
    <definedName name="Ut_62" localSheetId="8">'ESTIMAT'!$A$932:$L$935</definedName>
    <definedName name="Ut_62">'KALKYLE'!$A$932:$L$935</definedName>
    <definedName name="_xlnm.Print_Area" localSheetId="11">'BOKFØRT'!$A$1:$H$939</definedName>
    <definedName name="_xlnm.Print_Area" localSheetId="8">'ESTIMAT'!$A$7:$P$934</definedName>
    <definedName name="_xlnm.Print_Area" localSheetId="7">'ESTIMATSAMMENDRAG'!$A$2:$I$42</definedName>
    <definedName name="_xlnm.Print_Area" localSheetId="9">'ESTIMATSPES'!$A$1:$I$146</definedName>
    <definedName name="_xlnm.Print_Area" localSheetId="2">'FORSIDE'!$B$1:$G$45</definedName>
    <definedName name="_xlnm.Print_Area" localSheetId="3">'FORUTSETNINGER'!$A$2:$M$50</definedName>
    <definedName name="_xlnm.Print_Area" localSheetId="5">'KALKYLE'!$A$7:$L$934</definedName>
    <definedName name="_xlnm.Print_Area" localSheetId="0">'LES DETTE!'!$A$1:$L$127</definedName>
    <definedName name="_xlnm.Print_Area" localSheetId="10">'RAPPORT'!$B$2:$Q$45</definedName>
    <definedName name="_xlnm.Print_Area" localSheetId="4">'SAMMENDRAG'!$A$2:$I$42</definedName>
    <definedName name="_xlnm.Print_Area" localSheetId="6">'SPESIFIKASJONER'!$A$1:$I$146</definedName>
    <definedName name="X" localSheetId="8">'ESTIMAT'!$E:$E</definedName>
    <definedName name="X">'KALKYLE'!$E:$E</definedName>
    <definedName name="Z_2423C5ED_DD72_11D2_B544_C82E0BF5F80A_.wvu.PrintArea" localSheetId="8" hidden="1">'ESTIMAT'!$A$7:$I$941</definedName>
    <definedName name="Z_2423C5ED_DD72_11D2_B544_C82E0BF5F80A_.wvu.PrintArea" localSheetId="5" hidden="1">'KALKYLE'!$A$7:$I$941</definedName>
  </definedNames>
  <calcPr fullCalcOnLoad="1"/>
</workbook>
</file>

<file path=xl/comments6.xml><?xml version="1.0" encoding="utf-8"?>
<comments xmlns="http://schemas.openxmlformats.org/spreadsheetml/2006/main">
  <authors>
    <author>Odd Ween</author>
  </authors>
  <commentList>
    <comment ref="A5" authorId="0">
      <text>
        <r>
          <rPr>
            <b/>
            <sz val="8"/>
            <rFont val="Tahoma"/>
            <family val="0"/>
          </rPr>
          <t>Odd Ween:</t>
        </r>
        <r>
          <rPr>
            <sz val="8"/>
            <rFont val="Tahoma"/>
            <family val="0"/>
          </rPr>
          <t xml:space="preserve">
Her kan du velge.</t>
        </r>
      </text>
    </comment>
    <comment ref="C2" authorId="0">
      <text>
        <r>
          <rPr>
            <b/>
            <sz val="8"/>
            <rFont val="Tahoma"/>
            <family val="0"/>
          </rPr>
          <t>Her skrives kalkylen ut slik den ser ut på skjermen, dvs. med eller uten MVA, med eller uten tomme konti.</t>
        </r>
        <r>
          <rPr>
            <sz val="8"/>
            <rFont val="Tahoma"/>
            <family val="0"/>
          </rPr>
          <t xml:space="preserve">
</t>
        </r>
      </text>
    </comment>
  </commentList>
</comments>
</file>

<file path=xl/comments9.xml><?xml version="1.0" encoding="utf-8"?>
<comments xmlns="http://schemas.openxmlformats.org/spreadsheetml/2006/main">
  <authors>
    <author>Odd Ween</author>
  </authors>
  <commentList>
    <comment ref="C2" authorId="0">
      <text>
        <r>
          <rPr>
            <b/>
            <sz val="8"/>
            <rFont val="Tahoma"/>
            <family val="0"/>
          </rPr>
          <t>Her skrives kalkylen ut slik den ser ut på skjermen, dvs. med eller uten MVA, med eller uten tomme konti.</t>
        </r>
        <r>
          <rPr>
            <sz val="8"/>
            <rFont val="Tahoma"/>
            <family val="0"/>
          </rPr>
          <t xml:space="preserve">
</t>
        </r>
      </text>
    </comment>
  </commentList>
</comments>
</file>

<file path=xl/sharedStrings.xml><?xml version="1.0" encoding="utf-8"?>
<sst xmlns="http://schemas.openxmlformats.org/spreadsheetml/2006/main" count="3854" uniqueCount="826">
  <si>
    <t xml:space="preserve">STUDIOLEIE OPPTAK </t>
  </si>
  <si>
    <t>LEIE GARDEROBER</t>
  </si>
  <si>
    <t>LOCATIONLEIE</t>
  </si>
  <si>
    <t>OPPHOLDSROM LOCATION</t>
  </si>
  <si>
    <t>TOILETTVOGN</t>
  </si>
  <si>
    <t>LOC. BUSS/CAMPINGVOGN/HUSBIL</t>
  </si>
  <si>
    <t>VISNINGSUTSTYR/LOKAL KINO</t>
  </si>
  <si>
    <t>SKILTING/PARKERINGSRESERVERING</t>
  </si>
  <si>
    <t>MEDISINSK BEHANDLING</t>
  </si>
  <si>
    <t>SPESIALBEKLEDNING STAB</t>
  </si>
  <si>
    <t>VASK/RENS PRIVATTØY</t>
  </si>
  <si>
    <t>LEIE LAGER</t>
  </si>
  <si>
    <t>ANDRE LOKALER</t>
  </si>
  <si>
    <t>KJØP KONTORINNVENTAR/UTSTYR</t>
  </si>
  <si>
    <t>LEIE KONTORINNVENTAR/UTSTYR</t>
  </si>
  <si>
    <t>FORBRUKSMATERIELL</t>
  </si>
  <si>
    <t>WALKIE TALKIES</t>
  </si>
  <si>
    <t>LAGER-/TRANSPORTMATERIELL</t>
  </si>
  <si>
    <t>RENOVASJON/CONTAINERLEIE</t>
  </si>
  <si>
    <t>RENGJØRING</t>
  </si>
  <si>
    <t>SNØRYDDING</t>
  </si>
  <si>
    <t>LEIE PERSONLIG UTSTYR</t>
  </si>
  <si>
    <t>31-9074</t>
  </si>
  <si>
    <t>MAT V/LOCATIONOPPTAK</t>
  </si>
  <si>
    <t>CATERINGUTSTYR</t>
  </si>
  <si>
    <t>FRAKT/SPEDISJON</t>
  </si>
  <si>
    <t>CARNET</t>
  </si>
  <si>
    <t>B-REGISSØR</t>
  </si>
  <si>
    <t>- OVERTID B-REGISSØR</t>
  </si>
  <si>
    <t>KOREOGRAF</t>
  </si>
  <si>
    <t>SCRIPT</t>
  </si>
  <si>
    <t>- OVERTID SCRIPT</t>
  </si>
  <si>
    <t>STUNTANSVARLIG</t>
  </si>
  <si>
    <t>- OVERTID STUNTANSVARLIG</t>
  </si>
  <si>
    <t>STATISTANSVARLIG</t>
  </si>
  <si>
    <t>- OVERTID STATISTANSVARLIG</t>
  </si>
  <si>
    <t>ANNET REGIPERSONALE</t>
  </si>
  <si>
    <t>- OVERTID ANNET REGIPERSONALE</t>
  </si>
  <si>
    <t>SCENOGRAF</t>
  </si>
  <si>
    <t>- OVERTID SCENOGRAF</t>
  </si>
  <si>
    <t>TEKNISK TEGNER</t>
  </si>
  <si>
    <t>- OVERTID TEKNISK TEGNER</t>
  </si>
  <si>
    <t>BYGGELEDER</t>
  </si>
  <si>
    <t>- OVERTID BYGGELEDER</t>
  </si>
  <si>
    <t>SNEKKERFORMANN</t>
  </si>
  <si>
    <t>- OVERTID SNEKKERFORMANN</t>
  </si>
  <si>
    <t>SNEKKERE</t>
  </si>
  <si>
    <t>- OVERTID SNEKKERE</t>
  </si>
  <si>
    <t>DEKORATØRER</t>
  </si>
  <si>
    <t>- OVERTID DEKORATØRER</t>
  </si>
  <si>
    <t>DEKORATØRASSISTENTER</t>
  </si>
  <si>
    <t>- OVERTID DEKORATØRSS.</t>
  </si>
  <si>
    <t>MODELLBYGGER</t>
  </si>
  <si>
    <t>- OVERTID MODELLBYGGER</t>
  </si>
  <si>
    <t>SKILTMALER</t>
  </si>
  <si>
    <t>- OVERTID SKILTMALER</t>
  </si>
  <si>
    <t>GARTNER</t>
  </si>
  <si>
    <t>- OVERTID GARTNER</t>
  </si>
  <si>
    <t>ANNET DEKORPERSONALE</t>
  </si>
  <si>
    <t>- OVERTID ANNET DEKORPERSONALE</t>
  </si>
  <si>
    <t>DEKORASJONER, ANBUD</t>
  </si>
  <si>
    <t>DEKORASJON 1</t>
  </si>
  <si>
    <t>DEKORASJON 2</t>
  </si>
  <si>
    <t>DEKORASJON 3</t>
  </si>
  <si>
    <t>DEKORASJON 4</t>
  </si>
  <si>
    <t>DEKORASJON 5</t>
  </si>
  <si>
    <t>DEKORASJON 6</t>
  </si>
  <si>
    <t>DEKORASJON 7</t>
  </si>
  <si>
    <t>DEKORASJON 8</t>
  </si>
  <si>
    <t>DEKORASJON 9</t>
  </si>
  <si>
    <t>KJØP BYGGEMATERIALER</t>
  </si>
  <si>
    <t>LEIE BYGGEMATERIALER</t>
  </si>
  <si>
    <t>FRAMST. AV DEKORELEMENTER</t>
  </si>
  <si>
    <t>FAGASSISTANSE/RØRLEGGER ETC</t>
  </si>
  <si>
    <t>MOCK-UPS</t>
  </si>
  <si>
    <t>MALING/TAPET</t>
  </si>
  <si>
    <t>FOTOMASKER</t>
  </si>
  <si>
    <t>SKILTER</t>
  </si>
  <si>
    <t>TEGNEMATERIELL/KOPIERING</t>
  </si>
  <si>
    <t>MODELLER</t>
  </si>
  <si>
    <t>STUDIO BYGGE OG RIVEDAGER</t>
  </si>
  <si>
    <t>LEIE SNEKKERVERKSTED</t>
  </si>
  <si>
    <t>LEIE DEKORVERKSTED</t>
  </si>
  <si>
    <t>LEIE MONTERINGSHALL</t>
  </si>
  <si>
    <t>LEIDE MASKINER/TRAKTOR</t>
  </si>
  <si>
    <t>LEIE VERKSTED</t>
  </si>
  <si>
    <t>KJØP VERKTØY/UTSTYR</t>
  </si>
  <si>
    <t>LEIE VERKTØY/UTSTYR</t>
  </si>
  <si>
    <t>REKVISITØR</t>
  </si>
  <si>
    <t>- OVERTID REKVISITØR</t>
  </si>
  <si>
    <t>REKVISITTKOORDINATOR</t>
  </si>
  <si>
    <t>- OVERTID REKVISITTKOORDINATOR</t>
  </si>
  <si>
    <t>SET REKVISITØR</t>
  </si>
  <si>
    <t>- OVERTID SET REKVISITØR</t>
  </si>
  <si>
    <t>REKVISITTASSISTENT</t>
  </si>
  <si>
    <t>- OVERTID REKVISITTASSISTENT</t>
  </si>
  <si>
    <t>SET DRESSER</t>
  </si>
  <si>
    <t>- OVERTID SET DRESSER</t>
  </si>
  <si>
    <t>VÅPENASSISTANSE</t>
  </si>
  <si>
    <t>- OVERTID VÅPENASSISTANSE</t>
  </si>
  <si>
    <t>DYREPASSER</t>
  </si>
  <si>
    <t>- OVERTID DYREPASSERER</t>
  </si>
  <si>
    <t>ANNET REKVISITTPERSONALE</t>
  </si>
  <si>
    <t>- OVERTID ANNET REKV. PERSONALE</t>
  </si>
  <si>
    <t>KJØP REKVISITTER</t>
  </si>
  <si>
    <t>LEIE AV REKVISITTER</t>
  </si>
  <si>
    <t>FRAMSTILLING AV REKVISITTER</t>
  </si>
  <si>
    <t>DYR</t>
  </si>
  <si>
    <t>KJØRETØYER/FARTØYER</t>
  </si>
  <si>
    <t>SPECIAL EFFECTS ANSV.</t>
  </si>
  <si>
    <t>- OVERTID SPECIAL EFFECTS ANSV.</t>
  </si>
  <si>
    <t>SPECIAL EFFECTS ASSISTENT</t>
  </si>
  <si>
    <t>- OVERTID SFX ASSISTENT</t>
  </si>
  <si>
    <t>ANNET SFX PERSONALE</t>
  </si>
  <si>
    <t>- OVERTID ANNET SFX PERSONALE</t>
  </si>
  <si>
    <t>KJØP UTSTYR</t>
  </si>
  <si>
    <t>LEIE AV SFX UTSTYR</t>
  </si>
  <si>
    <t>RØYKMASKINER</t>
  </si>
  <si>
    <t>REGNTÅRN/SLANGER</t>
  </si>
  <si>
    <t>SFX MATERIELL</t>
  </si>
  <si>
    <t>RØYKOLJE</t>
  </si>
  <si>
    <t>PYROTEKNISK FORBRUKSMATERIELL</t>
  </si>
  <si>
    <t>KUNSTGLASS</t>
  </si>
  <si>
    <t>FRAMSTILLING AV UTSTYR</t>
  </si>
  <si>
    <t>BRANNVESEN/LEID ASSISTANSE</t>
  </si>
  <si>
    <t>KOSTYMESJEF</t>
  </si>
  <si>
    <t>- OVERTID KOSTYMESJEF</t>
  </si>
  <si>
    <t>KOSTYMEASSISTENT</t>
  </si>
  <si>
    <t>- OVERTID KOSTYMEASSISTENT</t>
  </si>
  <si>
    <t>SYERSKE</t>
  </si>
  <si>
    <t>- OVERTID SYERSKE</t>
  </si>
  <si>
    <t>ANNET KOSTYMEPERSONALE</t>
  </si>
  <si>
    <t>- OVERTID ANNET KOST. PERS.</t>
  </si>
  <si>
    <t>KJØP KOSTYMER</t>
  </si>
  <si>
    <t>LEIE KOSTYMER</t>
  </si>
  <si>
    <t>KOSTYMEMATERIALER</t>
  </si>
  <si>
    <t>LEIESØM</t>
  </si>
  <si>
    <t>VASK/RENS/FARGING</t>
  </si>
  <si>
    <t>LEIE SYSTUE</t>
  </si>
  <si>
    <t>TILLITSVALGT</t>
  </si>
  <si>
    <t>VERNEOMBUD</t>
  </si>
  <si>
    <t>RENTEUTGIFTER</t>
  </si>
  <si>
    <t>SMINKEDESIGN</t>
  </si>
  <si>
    <t>- OVERTID SMINKEDESIGN</t>
  </si>
  <si>
    <t>SMINKEASSISTENT</t>
  </si>
  <si>
    <t>- OVERTID SMINKEASSSISTENT</t>
  </si>
  <si>
    <t>FRISØR</t>
  </si>
  <si>
    <t>- OVERTID FRISØR</t>
  </si>
  <si>
    <t>PARYKKMAKER</t>
  </si>
  <si>
    <t>- OVERTID PARYKKMAKER</t>
  </si>
  <si>
    <t>SPECIAL MU DESIGNER</t>
  </si>
  <si>
    <t>- OVERTID SPECIAL MU DESIGNER</t>
  </si>
  <si>
    <t>ANNET SMINKEPERSONALE</t>
  </si>
  <si>
    <t>- OVERTID ANNET SMINKEPERSONALE</t>
  </si>
  <si>
    <t>SMINKEMATERIELL</t>
  </si>
  <si>
    <t>PARYKKER ETC.</t>
  </si>
  <si>
    <t>SMINKEROMSUTSTYR</t>
  </si>
  <si>
    <t>SMINKEROM STUDIO</t>
  </si>
  <si>
    <t>SMINKEROM LOCATION</t>
  </si>
  <si>
    <t>KAMERAOPERATØR</t>
  </si>
  <si>
    <t>- OVERTID KAMERAOPERATØR</t>
  </si>
  <si>
    <t>B-FOTOGRAF</t>
  </si>
  <si>
    <t>- OVERTID B-FOTOGRAF</t>
  </si>
  <si>
    <t>KAMERAASSISTENT</t>
  </si>
  <si>
    <t>- OVERTID KAMERASSISTENT</t>
  </si>
  <si>
    <t>STEADYCAM OPERATØR</t>
  </si>
  <si>
    <t>- OVERTID STEADYCAM OPERATØR</t>
  </si>
  <si>
    <t>2ND. UNIT FOTOGRAF</t>
  </si>
  <si>
    <t>- OVERTID 2ND. UNIT FOTOGRAF</t>
  </si>
  <si>
    <t>2ND. UNIT B-FOTOGRAF</t>
  </si>
  <si>
    <t>- OVERTID 2ND. UNIT B-FOTOGRAF</t>
  </si>
  <si>
    <t>38-6810</t>
  </si>
  <si>
    <t>KAMERAUTSTYR</t>
  </si>
  <si>
    <t>OPTIKK</t>
  </si>
  <si>
    <t>ANNET TILLEGGSUTSTYR</t>
  </si>
  <si>
    <t>VIDEOASSIST</t>
  </si>
  <si>
    <t>KAMERAUTSTYR 2ND. UNIT</t>
  </si>
  <si>
    <t>SPESIALUTSTYR</t>
  </si>
  <si>
    <t>STEADYCAM</t>
  </si>
  <si>
    <t>MOTION CONTROL</t>
  </si>
  <si>
    <t>RÅFILM</t>
  </si>
  <si>
    <t>FRAMKALLING</t>
  </si>
  <si>
    <t>LYSMESTER</t>
  </si>
  <si>
    <t>- OVERTID LYSMESTER</t>
  </si>
  <si>
    <t>ELEKTRIKER</t>
  </si>
  <si>
    <t>- OVERTID ELEKTRIKER</t>
  </si>
  <si>
    <t>LYSASSISTENT</t>
  </si>
  <si>
    <t>- OVERTID LYSASSISTENT</t>
  </si>
  <si>
    <t>GENERATOROPERATØR</t>
  </si>
  <si>
    <t>- OVERTID GENERATOROPERATØR</t>
  </si>
  <si>
    <t>ANNET LYSPERSONALE</t>
  </si>
  <si>
    <t>- OVERTID ANNET LYSPERSONALE</t>
  </si>
  <si>
    <t>LYSUTSTYR</t>
  </si>
  <si>
    <t>ELEKTRISITET STUDIO</t>
  </si>
  <si>
    <t>ELEKTRISITET/TILKOBLING LOC</t>
  </si>
  <si>
    <t>EL-MOBIL</t>
  </si>
  <si>
    <t>GENERATOR</t>
  </si>
  <si>
    <t>BRENNSTOFF FOR GENERATOR</t>
  </si>
  <si>
    <t>FORBRUK LAMPER FILTER ETC.</t>
  </si>
  <si>
    <t>GRIP</t>
  </si>
  <si>
    <t>PROSJEKTLEDER/LINE PRODUCER</t>
  </si>
  <si>
    <t>- OVERTID GRIP</t>
  </si>
  <si>
    <t>GRIPASSISTENT</t>
  </si>
  <si>
    <t>- OVERTID GRIPASSISTENT</t>
  </si>
  <si>
    <t>ANNET GRIPPERSONALE</t>
  </si>
  <si>
    <t>- OVERTID ANNET GRIPPERSONALE</t>
  </si>
  <si>
    <t>KAMERADOLLY/SKINNER</t>
  </si>
  <si>
    <t>KAMERABIL</t>
  </si>
  <si>
    <t>KRAN</t>
  </si>
  <si>
    <t>TÅRN/ZIP UPS</t>
  </si>
  <si>
    <t>ANNET GRIPUTSTYR</t>
  </si>
  <si>
    <t>LYDSJEF OPPTAK</t>
  </si>
  <si>
    <t>- OVERTID LYDSJEF OPPTAK</t>
  </si>
  <si>
    <t>B-LYD</t>
  </si>
  <si>
    <t>- OVERTID B-LYD</t>
  </si>
  <si>
    <t>LYDASSISTENT</t>
  </si>
  <si>
    <t>- OVERTID LYDASSSISTENT</t>
  </si>
  <si>
    <t>ANNET LYDPERSONALE</t>
  </si>
  <si>
    <t>- OVERTID ANNET LYDPERSONALE</t>
  </si>
  <si>
    <t>Verdier for utskriftsboks</t>
  </si>
  <si>
    <t>LYDOPPTAKSUTSTYR</t>
  </si>
  <si>
    <t>MIKROFONER/KABLER</t>
  </si>
  <si>
    <t>RADIOMIKROFONER</t>
  </si>
  <si>
    <t>MIKSER,PLAY-BACK UTSTYR ETC</t>
  </si>
  <si>
    <t>OVERSPILLING</t>
  </si>
  <si>
    <t>KLIPPEROM OPPSYNKING</t>
  </si>
  <si>
    <t>FOTNUMMERERING</t>
  </si>
  <si>
    <t>LYD-TAPE/DAT OPPTAK</t>
  </si>
  <si>
    <t>ROLLE 1</t>
  </si>
  <si>
    <t>ROLLE 2</t>
  </si>
  <si>
    <t>ROLLE 3</t>
  </si>
  <si>
    <t>ROLLE 4</t>
  </si>
  <si>
    <t>ROLLE 5</t>
  </si>
  <si>
    <t>ROLLE 6</t>
  </si>
  <si>
    <t>ROLLE 7</t>
  </si>
  <si>
    <t>ROLLE 8</t>
  </si>
  <si>
    <t>ROLLE 9</t>
  </si>
  <si>
    <t>ROLLE 10</t>
  </si>
  <si>
    <t>ROLLE 11</t>
  </si>
  <si>
    <t>ROLLE 12</t>
  </si>
  <si>
    <t>ROLLE 13</t>
  </si>
  <si>
    <t>ROLLE 14</t>
  </si>
  <si>
    <t>ROLLE 15</t>
  </si>
  <si>
    <t>ROLLE 16</t>
  </si>
  <si>
    <t>ROLLE 17</t>
  </si>
  <si>
    <t>ROLLE 18</t>
  </si>
  <si>
    <t>ROLLE 19</t>
  </si>
  <si>
    <t>ROLLE 20</t>
  </si>
  <si>
    <t>ROLLE 21</t>
  </si>
  <si>
    <t>ROLLE 22</t>
  </si>
  <si>
    <t>ROLLE 23</t>
  </si>
  <si>
    <t>ROLLE 24</t>
  </si>
  <si>
    <t>ROLLE 25</t>
  </si>
  <si>
    <t>ROLLE 26</t>
  </si>
  <si>
    <t>ROLLE 27</t>
  </si>
  <si>
    <t>ROLLE 28</t>
  </si>
  <si>
    <t>ROLLE 29</t>
  </si>
  <si>
    <t>DIVERSE SMÅROLLER</t>
  </si>
  <si>
    <t>LESEPRØVER</t>
  </si>
  <si>
    <t>OVERTID</t>
  </si>
  <si>
    <t>REISE/VENTEDAGER</t>
  </si>
  <si>
    <t>DANSERE</t>
  </si>
  <si>
    <t>STAND-INS/DOUBLES</t>
  </si>
  <si>
    <t>STUNTS</t>
  </si>
  <si>
    <t>STATISTER</t>
  </si>
  <si>
    <t>FOLKEMENGDER</t>
  </si>
  <si>
    <t>SKUESPILLERE, ETTERSYNK</t>
  </si>
  <si>
    <t>SKUESPILLERE, DUBBING</t>
  </si>
  <si>
    <t>SKUESPILLERE, SPEAKER</t>
  </si>
  <si>
    <t>STATISTER, ETTERSYNK/EFFEKT</t>
  </si>
  <si>
    <t>SPESIALTRENING</t>
  </si>
  <si>
    <t>STATISTTRANSPORT</t>
  </si>
  <si>
    <t>TESTER</t>
  </si>
  <si>
    <t>KONTROLLKOPI</t>
  </si>
  <si>
    <t>SERVICE DATAUTSTYR</t>
  </si>
  <si>
    <t>SERVICE PROGRAMVARE</t>
  </si>
  <si>
    <t>- OVERTID ETTERARB. KOORDINATOR</t>
  </si>
  <si>
    <t>STOCKSHOTS</t>
  </si>
  <si>
    <t>DIALOGLISTER FOR ETTERSYNK</t>
  </si>
  <si>
    <t>TEKSTING/OVERSETT./TILRETTEL</t>
  </si>
  <si>
    <t>DESIGN FOR-/ETTERTEKSTER</t>
  </si>
  <si>
    <t>KLIPPER</t>
  </si>
  <si>
    <t>- OVERTID KLIPPER</t>
  </si>
  <si>
    <t>KLIPPEKONSULENT</t>
  </si>
  <si>
    <t>- OVERTID KLIPPEKONSULENT</t>
  </si>
  <si>
    <t>KLIPPEASSISTENT</t>
  </si>
  <si>
    <t>- OVERTID KLIPPEASSISTENT</t>
  </si>
  <si>
    <t>KLIPPETEKNIKER</t>
  </si>
  <si>
    <t>- OVERTID KLIPPETEKNIKER</t>
  </si>
  <si>
    <t>- OVERTID LOGGER</t>
  </si>
  <si>
    <t>KLIPPEROM</t>
  </si>
  <si>
    <t>DIGITAL OFF-LINE REDIGERING</t>
  </si>
  <si>
    <t>ANNET KLIPPEROMSUTSTYR</t>
  </si>
  <si>
    <t>HARDDISKER</t>
  </si>
  <si>
    <t>LYDSJEF, ETTERARBEID</t>
  </si>
  <si>
    <t>- OVERTID LYDSJEF ETTERARBEID</t>
  </si>
  <si>
    <t>LYDMESTER</t>
  </si>
  <si>
    <t>- OVERTID LYDMESTER</t>
  </si>
  <si>
    <t>LYDLEGGER DIALOG</t>
  </si>
  <si>
    <t>- OVERTID LYDLEGGER DIALOG</t>
  </si>
  <si>
    <t>LYDLEGGER EFFEKTER</t>
  </si>
  <si>
    <t>- OVERTID LYDLEGGER EFFEKTER</t>
  </si>
  <si>
    <t>- OVERTID LYDASSISTENT</t>
  </si>
  <si>
    <t>FOLEY ARTIST</t>
  </si>
  <si>
    <t>- OVERTID FOLEY ARTIST</t>
  </si>
  <si>
    <t>STUDIOTEKNIKER</t>
  </si>
  <si>
    <t>- OVERTID STUDIOTEKNIKER</t>
  </si>
  <si>
    <t>MIKSER</t>
  </si>
  <si>
    <t>- OVERTID MIKSER</t>
  </si>
  <si>
    <t>LYDETTERARBEID, ANBUD</t>
  </si>
  <si>
    <t>OVERSPILLING ETTERARBEID</t>
  </si>
  <si>
    <t>MO DISKER</t>
  </si>
  <si>
    <t xml:space="preserve">    FORUTSETNINGER</t>
  </si>
  <si>
    <t>BUDSJETTFORUTSETNINGER:</t>
  </si>
  <si>
    <t xml:space="preserve">Sos. utgifter beregnet med </t>
  </si>
  <si>
    <t>Kalkyle datert:</t>
  </si>
  <si>
    <t>Kalkulert av:</t>
  </si>
  <si>
    <t>DIGITALTAPE</t>
  </si>
  <si>
    <t>ANDRE LAGRINGSMEDIA</t>
  </si>
  <si>
    <t>OPPTAKSUTS./REKV. EFFEKTER</t>
  </si>
  <si>
    <t>KJØP EFFEKTER</t>
  </si>
  <si>
    <t>STUDIO DIALOGETTERSYNK</t>
  </si>
  <si>
    <t>STUDIO EFFEKTETTERSYNK</t>
  </si>
  <si>
    <t>DIGITAL LYDSUITE</t>
  </si>
  <si>
    <t>STUDIO MIX</t>
  </si>
  <si>
    <t>I-BÅND</t>
  </si>
  <si>
    <t>DOLBYAVGIFT</t>
  </si>
  <si>
    <t>AVGIFT DTS/SONY DSSD</t>
  </si>
  <si>
    <t>X</t>
  </si>
  <si>
    <t>KOMPONIST</t>
  </si>
  <si>
    <t>MUSIKKONSULENT</t>
  </si>
  <si>
    <t>ARRANGØR</t>
  </si>
  <si>
    <t>DIRIGENT</t>
  </si>
  <si>
    <t>MUSIKERE</t>
  </si>
  <si>
    <t>SANGERE</t>
  </si>
  <si>
    <t>SOLISTER</t>
  </si>
  <si>
    <t>MUSIKK, ANBUD</t>
  </si>
  <si>
    <t>PRØVELOKALER</t>
  </si>
  <si>
    <t>MUSIKKSTUDIO OPPTAK</t>
  </si>
  <si>
    <t>MUSIKKSTUDIO MIX</t>
  </si>
  <si>
    <t>INSTRUMENTLEIE</t>
  </si>
  <si>
    <t>NOTEMATERIELL/KOPIERING</t>
  </si>
  <si>
    <t>ARKIVMUSIKK/RETTIGHETER</t>
  </si>
  <si>
    <t>TONOAVGIFT</t>
  </si>
  <si>
    <t>AVG. FOND FOR UTØV. KUNSTN.</t>
  </si>
  <si>
    <t>ANDRE MUSIKKAVGIFTER</t>
  </si>
  <si>
    <t>DFX SUPERVISOR</t>
  </si>
  <si>
    <t>- OVERTID DFX SUPERVISOR</t>
  </si>
  <si>
    <t>DFX PERSONALE</t>
  </si>
  <si>
    <t>- OVERTID DFX PERSONALE</t>
  </si>
  <si>
    <t>DFX UTSTYR</t>
  </si>
  <si>
    <t>DFX ANBUD</t>
  </si>
  <si>
    <t>DFX ARBEIDSSTASJON 1</t>
  </si>
  <si>
    <t>DFX ARBEIDSSTASJON 2</t>
  </si>
  <si>
    <t>3-D MODELLERING</t>
  </si>
  <si>
    <t>DIGITALSCANNING</t>
  </si>
  <si>
    <t>FILMRECORDER</t>
  </si>
  <si>
    <t>LABORATORIUM, ANBUD</t>
  </si>
  <si>
    <t>GRAFISK ARBEID TEKSTER</t>
  </si>
  <si>
    <t>ANDRE LAB. KOSTNADER</t>
  </si>
  <si>
    <t>PRODUSENT</t>
  </si>
  <si>
    <t>UTØVENDE PRODUSENT</t>
  </si>
  <si>
    <t>CO-PRODUSENT</t>
  </si>
  <si>
    <t>ADMINISTRASJONSGODTGJØRELSE</t>
  </si>
  <si>
    <t>REVISJON</t>
  </si>
  <si>
    <t>DIV. BANKOMKOSTNINGER</t>
  </si>
  <si>
    <t>AGIO</t>
  </si>
  <si>
    <t>RENTEINNTEKTER</t>
  </si>
  <si>
    <t>Se spesifikasjonsark</t>
  </si>
  <si>
    <t>NORWACO</t>
  </si>
  <si>
    <t>BONO AVGIFT</t>
  </si>
  <si>
    <t>NEGATIVFORSIKRING</t>
  </si>
  <si>
    <t>INDEMNITYFORSIKRING</t>
  </si>
  <si>
    <t>ANSVARFORSIKRING</t>
  </si>
  <si>
    <t>BRANNFORSIKRING</t>
  </si>
  <si>
    <t>FERDIGGJØRINGSGARANTI</t>
  </si>
  <si>
    <t>LEGEUNDERSØKELSER</t>
  </si>
  <si>
    <t>ANDRE FORSIKRINGER</t>
  </si>
  <si>
    <t>Kalkyle</t>
  </si>
  <si>
    <t>Forside</t>
  </si>
  <si>
    <t>Premisser</t>
  </si>
  <si>
    <t>Sammendrag</t>
  </si>
  <si>
    <t>UFORUTSETTE UTGIFTER</t>
  </si>
  <si>
    <t>PRESSEMEDARBEIDER</t>
  </si>
  <si>
    <t>- OVERTID PRESSEMEDARBEIDER</t>
  </si>
  <si>
    <t>STILLSFOTOGRAF</t>
  </si>
  <si>
    <t>- OVERTID STILLSFOTOGRAF</t>
  </si>
  <si>
    <t>LEIE STILLSUTSTYR</t>
  </si>
  <si>
    <t>1 1/2t. 50%</t>
  </si>
  <si>
    <t>2t. 50%</t>
  </si>
  <si>
    <t>2 1/2t. 50%</t>
  </si>
  <si>
    <t>3t. 50%</t>
  </si>
  <si>
    <t>3t. 50% + 1 t. 100%</t>
  </si>
  <si>
    <t>3t. 50% + 2 t. 100%</t>
  </si>
  <si>
    <t>1t. 50%</t>
  </si>
  <si>
    <t xml:space="preserve">    SAMMENDRAG</t>
  </si>
  <si>
    <t xml:space="preserve">    FORSIDE</t>
  </si>
  <si>
    <t>SEK</t>
  </si>
  <si>
    <t>DEK</t>
  </si>
  <si>
    <t>USD</t>
  </si>
  <si>
    <t>GBP</t>
  </si>
  <si>
    <t>.</t>
  </si>
  <si>
    <t>FOR</t>
  </si>
  <si>
    <t>PRE</t>
  </si>
  <si>
    <t>SAM</t>
  </si>
  <si>
    <t>SJÅFØRER</t>
  </si>
  <si>
    <t>- OVERTID SJÅFØRER</t>
  </si>
  <si>
    <t>TRANSPORTANSVARLIG</t>
  </si>
  <si>
    <t>- OVERTID TRANSPORTANSVARLIG</t>
  </si>
  <si>
    <t>ANNET KAMERAPERSONALE</t>
  </si>
  <si>
    <t>- OVERTID ANNET KAMERAPERSONALE</t>
  </si>
  <si>
    <t>Reiseutgifter</t>
  </si>
  <si>
    <t>Hotellopphold</t>
  </si>
  <si>
    <t>Dagpenger/dietter</t>
  </si>
  <si>
    <t>Leide biler</t>
  </si>
  <si>
    <t>51 PRODUKSJON ETTERARB.</t>
  </si>
  <si>
    <t>Spesifiser her!</t>
  </si>
  <si>
    <t>Antatt premiere</t>
  </si>
  <si>
    <t>% SATSER OVERTID</t>
  </si>
  <si>
    <t>Overtidstimer pr. dag:</t>
  </si>
  <si>
    <t>Beregning;</t>
  </si>
  <si>
    <t>25 stk. i 20 dager</t>
  </si>
  <si>
    <t>Mengde:</t>
  </si>
  <si>
    <t>x</t>
  </si>
  <si>
    <t>Sats:</t>
  </si>
  <si>
    <t>Sum:</t>
  </si>
  <si>
    <t>%</t>
  </si>
  <si>
    <t>Sos. utg.</t>
  </si>
  <si>
    <t>11-1130</t>
  </si>
  <si>
    <t>PRODUKSJONSASSISTENTER</t>
  </si>
  <si>
    <t>Per Hansen</t>
  </si>
  <si>
    <t>11-1131</t>
  </si>
  <si>
    <t>- OVERTID PROD. ASSISTENTER</t>
  </si>
  <si>
    <t>1 1/2 t./dag</t>
  </si>
  <si>
    <t>PROSJEKTKALKYLE</t>
  </si>
  <si>
    <t>Prosjekt:</t>
  </si>
  <si>
    <t>Dato:</t>
  </si>
  <si>
    <t>Prosjektnavn:</t>
  </si>
  <si>
    <t>Visningsformat</t>
  </si>
  <si>
    <t>mm</t>
  </si>
  <si>
    <t>Oppt. dager studio</t>
  </si>
  <si>
    <t>dager</t>
  </si>
  <si>
    <t>Oppt. dager loc. uten reise</t>
  </si>
  <si>
    <t>daqer</t>
  </si>
  <si>
    <t>Oppt. dager loc. med reise</t>
  </si>
  <si>
    <t>Totalt opptaksdager</t>
  </si>
  <si>
    <t>Reisedager</t>
  </si>
  <si>
    <t>Total opptaksperiode</t>
  </si>
  <si>
    <t>uker</t>
  </si>
  <si>
    <t>Beregn. råfilmforbruk</t>
  </si>
  <si>
    <t>meter</t>
  </si>
  <si>
    <t>Klippetid</t>
  </si>
  <si>
    <t>Lydetterarbeid</t>
  </si>
  <si>
    <t>Lydmix</t>
  </si>
  <si>
    <t>Planlagt opptaksstart</t>
  </si>
  <si>
    <t>Planlagt opptaksslutt</t>
  </si>
  <si>
    <t>Start klipp</t>
  </si>
  <si>
    <t>Ferdig klipp</t>
  </si>
  <si>
    <t>Start lydetterarbeid</t>
  </si>
  <si>
    <t>Ferdig lydmix</t>
  </si>
  <si>
    <t>A-kopi</t>
  </si>
  <si>
    <t>KALKYLESAMMENDRAG</t>
  </si>
  <si>
    <t>10</t>
  </si>
  <si>
    <t>Manuskriptutvikling</t>
  </si>
  <si>
    <t>11</t>
  </si>
  <si>
    <t>Prosjektutvikling</t>
  </si>
  <si>
    <t>TOTALE UTVIKLINGSKOSTNADER</t>
  </si>
  <si>
    <t>'---------&gt;</t>
  </si>
  <si>
    <t>21</t>
  </si>
  <si>
    <t>Forarbeid</t>
  </si>
  <si>
    <t>31</t>
  </si>
  <si>
    <t>Produksjon</t>
  </si>
  <si>
    <t>32</t>
  </si>
  <si>
    <t>Regi</t>
  </si>
  <si>
    <t>33</t>
  </si>
  <si>
    <t>Dekor</t>
  </si>
  <si>
    <t>34</t>
  </si>
  <si>
    <t>Rekvisitt</t>
  </si>
  <si>
    <t>35</t>
  </si>
  <si>
    <t>Special effects</t>
  </si>
  <si>
    <t>36</t>
  </si>
  <si>
    <t>Kostyme</t>
  </si>
  <si>
    <t>37</t>
  </si>
  <si>
    <t>Sminke</t>
  </si>
  <si>
    <t>38</t>
  </si>
  <si>
    <t>Foto</t>
  </si>
  <si>
    <t>39</t>
  </si>
  <si>
    <t>Lys</t>
  </si>
  <si>
    <t>40</t>
  </si>
  <si>
    <t>Grip</t>
  </si>
  <si>
    <t>41</t>
  </si>
  <si>
    <t>Opptakslyd</t>
  </si>
  <si>
    <t>42</t>
  </si>
  <si>
    <t>Skuespillere</t>
  </si>
  <si>
    <t>TOTALE OPPTAKSKOSTNADER</t>
  </si>
  <si>
    <t>51</t>
  </si>
  <si>
    <t>Produksjon etterarbeid</t>
  </si>
  <si>
    <t>52</t>
  </si>
  <si>
    <t>Klipp</t>
  </si>
  <si>
    <t>53</t>
  </si>
  <si>
    <t>Lydetterabeid</t>
  </si>
  <si>
    <t>54</t>
  </si>
  <si>
    <t>Musikk</t>
  </si>
  <si>
    <t>55</t>
  </si>
  <si>
    <t>Digitale effekter</t>
  </si>
  <si>
    <t>56</t>
  </si>
  <si>
    <t>TOTALE ETTERARBEIDSKOSTNADER</t>
  </si>
  <si>
    <t>61</t>
  </si>
  <si>
    <t>Administrasjon</t>
  </si>
  <si>
    <t>NETTO PRODUKSJONSKOSTNADER</t>
  </si>
  <si>
    <t>62</t>
  </si>
  <si>
    <t>Uforutsette utgifter</t>
  </si>
  <si>
    <t>TOTALE PRODUKSJONSKOSTNADER</t>
  </si>
  <si>
    <t>10 MANUSKRIPTUTVIKLING</t>
  </si>
  <si>
    <t>Indexnummer for valgt "Gå til":</t>
  </si>
  <si>
    <t>=område:</t>
  </si>
  <si>
    <t>11 PROSJEKTUTVIKLING</t>
  </si>
  <si>
    <t>Indexnummer for valgt "Skriv ut":</t>
  </si>
  <si>
    <t>21 FORARBEID</t>
  </si>
  <si>
    <t>31 PRODUKSJON</t>
  </si>
  <si>
    <t>32 REGI</t>
  </si>
  <si>
    <t>33 DEKOR</t>
  </si>
  <si>
    <t>34 REKVISITTER</t>
  </si>
  <si>
    <t>35 SPECIAL EFFECTS</t>
  </si>
  <si>
    <t>36 KOSTYME</t>
  </si>
  <si>
    <t>37 SMINKE</t>
  </si>
  <si>
    <t>38 FOTO</t>
  </si>
  <si>
    <t>39 LYS</t>
  </si>
  <si>
    <t>40 GRIP</t>
  </si>
  <si>
    <t>41 OPPTAKSLYD</t>
  </si>
  <si>
    <t>42 SKUESPILLERE</t>
  </si>
  <si>
    <t>51 PRODUKSJON ETTERARBEID</t>
  </si>
  <si>
    <t>52 KLIPP</t>
  </si>
  <si>
    <t>53 LYDETTERARBEID</t>
  </si>
  <si>
    <t>54 MUSIKK</t>
  </si>
  <si>
    <t>55 DIGITALE EFFEKTER</t>
  </si>
  <si>
    <t>56 LABORATORIUM</t>
  </si>
  <si>
    <t>61 ADMINISTRASJON</t>
  </si>
  <si>
    <t>62 UFORUTSETTE UTGIFTER</t>
  </si>
  <si>
    <t xml:space="preserve">  </t>
  </si>
  <si>
    <t>FILMRETT (INKL. OPSJONER)</t>
  </si>
  <si>
    <t>SYNOPSIS</t>
  </si>
  <si>
    <t>TREATMENT</t>
  </si>
  <si>
    <t>MANUSKRIPT</t>
  </si>
  <si>
    <t>DIALOG</t>
  </si>
  <si>
    <t>EKSTRA TEKSTER (SANG ETC.)</t>
  </si>
  <si>
    <t>DREIEBOK</t>
  </si>
  <si>
    <t>STORYBOARD</t>
  </si>
  <si>
    <t>UTSKRIVING</t>
  </si>
  <si>
    <t>DRAMATURG</t>
  </si>
  <si>
    <t>KONSULENTER</t>
  </si>
  <si>
    <t>OVERSETTELSE</t>
  </si>
  <si>
    <t>ANNET PERSONALE</t>
  </si>
  <si>
    <t>- OVERTID ANNET PERSONALE</t>
  </si>
  <si>
    <t>SOSIALE UTGIFTER</t>
  </si>
  <si>
    <t>&lt;-------'</t>
  </si>
  <si>
    <t>LEIE KONTORER</t>
  </si>
  <si>
    <t>PRØVEKINO/VIDEOPROJEKSJON</t>
  </si>
  <si>
    <t>KONTORREKVISITA</t>
  </si>
  <si>
    <t>DATAUTSTYR</t>
  </si>
  <si>
    <t>PROGRAMVARE</t>
  </si>
  <si>
    <t>MANGFOLDIGGJØRING</t>
  </si>
  <si>
    <t>BAKGRUNNSMATERIELL</t>
  </si>
  <si>
    <t>LEIE FILMER/VIDEO</t>
  </si>
  <si>
    <t>ANDRE KOSTNADER</t>
  </si>
  <si>
    <t>REISEUTGIFTER</t>
  </si>
  <si>
    <t>HOTELLOPPHOLD</t>
  </si>
  <si>
    <t>DAGPENGER/DIETTER</t>
  </si>
  <si>
    <t>MØTEKOSTNADER</t>
  </si>
  <si>
    <t>TAXI/BUDBIL</t>
  </si>
  <si>
    <t>SUM</t>
  </si>
  <si>
    <t>PRODUKSJONSLEDER</t>
  </si>
  <si>
    <t>PRODUKSJONSSEKRETÆR</t>
  </si>
  <si>
    <t>- OVERTID PROD. SEKRETÆR</t>
  </si>
  <si>
    <t>LOCATION RESEARCH</t>
  </si>
  <si>
    <t>- OVERTID LOCATION RESEARCH</t>
  </si>
  <si>
    <t>REGISSØR</t>
  </si>
  <si>
    <t>REGIASSISTENT</t>
  </si>
  <si>
    <t>- OVERTID REGIASSISTENT</t>
  </si>
  <si>
    <t>PRODUCTION DESIGNER</t>
  </si>
  <si>
    <t>- OVERTID PRODUCTION DESIGNER</t>
  </si>
  <si>
    <t>KOSTYMEDESIGNER</t>
  </si>
  <si>
    <t>Valuta:</t>
  </si>
  <si>
    <t>- OVERTID KOSTYMEDESIGNER</t>
  </si>
  <si>
    <t>SJEFSFOTOGRAF</t>
  </si>
  <si>
    <t>- OVERTID  SJEFSFOTOGRAF</t>
  </si>
  <si>
    <t>LYDDESIGNER</t>
  </si>
  <si>
    <t>- OVERTID LYDDESIGNER</t>
  </si>
  <si>
    <t>TOLK</t>
  </si>
  <si>
    <t>- OVERTID TOLK</t>
  </si>
  <si>
    <t>TARIFFJUSTERINGER</t>
  </si>
  <si>
    <t>BREAK DOWN/PRODUKSJONSPLAN</t>
  </si>
  <si>
    <t>KALKYLE</t>
  </si>
  <si>
    <t>JURIDISK ASSISTANSE</t>
  </si>
  <si>
    <t>TELEFON/PORTO</t>
  </si>
  <si>
    <t>POLAROID/ARBEIDSTILLS</t>
  </si>
  <si>
    <t>VIDEOUTSTYR</t>
  </si>
  <si>
    <t>VIDEOTAPE</t>
  </si>
  <si>
    <t>MAT V/OVERTID</t>
  </si>
  <si>
    <t>LEIDE BILER</t>
  </si>
  <si>
    <t>SKADER LEIDE BILER</t>
  </si>
  <si>
    <t>BENSIN/OLJE ETC.</t>
  </si>
  <si>
    <t>PARKERING/BOM/FERGER</t>
  </si>
  <si>
    <t>BILGODTGJØRELSE</t>
  </si>
  <si>
    <t>LEID TRANSPORT</t>
  </si>
  <si>
    <t>LEIE AV HELIKOPTER/FLY</t>
  </si>
  <si>
    <t>LEIE BÅT/SNØSCOOTER ETC.</t>
  </si>
  <si>
    <t>CASTING</t>
  </si>
  <si>
    <t>- OVERTID CASTING</t>
  </si>
  <si>
    <t>LOKALER PRØVEFILM/PRØVER</t>
  </si>
  <si>
    <t>ANNONSERING</t>
  </si>
  <si>
    <t>B-PRODUKSJONSLEDER</t>
  </si>
  <si>
    <t>- OVERTID B-PROD. LEDER</t>
  </si>
  <si>
    <t>PRODUKSJONSKOORDINATOR</t>
  </si>
  <si>
    <t>- OVERTID PROD. KOORDINATOR</t>
  </si>
  <si>
    <t>LOCATION MANAGER</t>
  </si>
  <si>
    <t>- OVERTID LOCATION MANAGER</t>
  </si>
  <si>
    <t>INNSPILLINGSLEDER</t>
  </si>
  <si>
    <t>44</t>
  </si>
  <si>
    <t>Reiser/transport</t>
  </si>
  <si>
    <t>44 REISER/TRANSPORT</t>
  </si>
  <si>
    <t>Herav MVA:</t>
  </si>
  <si>
    <t>EURO</t>
  </si>
  <si>
    <t>ETTERARBEIDSKOORDINATOR</t>
  </si>
  <si>
    <t>Prosjekt   :</t>
  </si>
  <si>
    <t>Dato     :</t>
  </si>
  <si>
    <t>Ved å legge inn prosentsatsen, som f. eks. " 30", i kolonnen for Mengde:,</t>
  </si>
  <si>
    <t>Tilsv. % av dagshonorar</t>
  </si>
  <si>
    <t>8 uker</t>
  </si>
  <si>
    <t>- OVERTID INNSPILLINGSLEDER</t>
  </si>
  <si>
    <t>INNSPILLINGSASSISTENTER</t>
  </si>
  <si>
    <t>- OVERTID INNSP. ASSISTENTER</t>
  </si>
  <si>
    <t>PRODUKSJONSBOKHOLDER</t>
  </si>
  <si>
    <t>- OVERTID PROD. BOKHOLDER</t>
  </si>
  <si>
    <t>CATERINGPERSONALE</t>
  </si>
  <si>
    <t>- OVERTID CATERINGPERSONALE</t>
  </si>
  <si>
    <t>ANNET PRODUKSJONSPERSONALE</t>
  </si>
  <si>
    <t>- OVERTID ANNET PROD. PERS.</t>
  </si>
  <si>
    <t>LÆRER/BARNEVAKT</t>
  </si>
  <si>
    <t>- OVERTID LÆRER/BARNEVAKT</t>
  </si>
  <si>
    <t>POLITIASSISTANSE</t>
  </si>
  <si>
    <t>VAKTHOLD</t>
  </si>
  <si>
    <t>- OVERTID VAKTHOLD</t>
  </si>
  <si>
    <t>LOKAL ASSISTANSE</t>
  </si>
  <si>
    <t>- OVERTID LOKAL ASSISTANSE</t>
  </si>
  <si>
    <t>HOSPITANTER</t>
  </si>
  <si>
    <t>- OVERTID HOSPITANTER</t>
  </si>
  <si>
    <t>PRØVEKINO/VIDEO PÅSYNSUTSTYR</t>
  </si>
  <si>
    <t>UTSTYR LOGGING/INNLASTING</t>
  </si>
  <si>
    <t>KOSTYME/REKVISITTFORSIKRING</t>
  </si>
  <si>
    <t>REISEFORSIKRING</t>
  </si>
  <si>
    <t>YRKESSKADEFORSIKRING</t>
  </si>
  <si>
    <t>,</t>
  </si>
  <si>
    <t>Beregn. visningslengde</t>
  </si>
  <si>
    <t>REGNSKAP</t>
  </si>
  <si>
    <t xml:space="preserve"> 44  REISER TRANSPORT   SPESIFIKASJONER</t>
  </si>
  <si>
    <t>Opptaksformat film</t>
  </si>
  <si>
    <t>:</t>
  </si>
  <si>
    <t>3t. 50% + 1/2 t. 100%</t>
  </si>
  <si>
    <t>3t. 50% + 1 1/2 t. 100%</t>
  </si>
  <si>
    <t>dager /</t>
  </si>
  <si>
    <t>dagers uke)</t>
  </si>
  <si>
    <t>uker (v/</t>
  </si>
  <si>
    <t>Taxi/budbil</t>
  </si>
  <si>
    <t>Frakt/spedisjon</t>
  </si>
  <si>
    <t>Kurs:</t>
  </si>
  <si>
    <t>BOKFØRT</t>
  </si>
  <si>
    <t>Bevegelse</t>
  </si>
  <si>
    <t>periode</t>
  </si>
  <si>
    <t>Bokført pr.</t>
  </si>
  <si>
    <t>Avvik</t>
  </si>
  <si>
    <t>ikke bokført</t>
  </si>
  <si>
    <t>restkostnader</t>
  </si>
  <si>
    <t>Kalkyle - sluttk.</t>
  </si>
  <si>
    <t>+</t>
  </si>
  <si>
    <t>=</t>
  </si>
  <si>
    <t>Reiser/Transport</t>
  </si>
  <si>
    <t>Bokført</t>
  </si>
  <si>
    <t>SLUTTKOSTNADSESTIMAT</t>
  </si>
  <si>
    <t>pr.</t>
  </si>
  <si>
    <t>i perioden</t>
  </si>
  <si>
    <t>ESTIMAT</t>
  </si>
  <si>
    <t xml:space="preserve">Sluttkostnad </t>
  </si>
  <si>
    <t>estimat</t>
  </si>
  <si>
    <t>Estimerte</t>
  </si>
  <si>
    <t>Kalkyle:</t>
  </si>
  <si>
    <t>Revisorbekreftelse:</t>
  </si>
  <si>
    <t>Disponert,</t>
  </si>
  <si>
    <t>Fradr. MVA:</t>
  </si>
  <si>
    <t>Tekst:</t>
  </si>
  <si>
    <t xml:space="preserve">   SLUTTKOSTNADS-ESTIMAT</t>
  </si>
  <si>
    <t xml:space="preserve">   KALKYLE</t>
  </si>
  <si>
    <t>UT_10</t>
  </si>
  <si>
    <t>UT_11</t>
  </si>
  <si>
    <t>UT_21</t>
  </si>
  <si>
    <t>UT_31</t>
  </si>
  <si>
    <t>UT_32</t>
  </si>
  <si>
    <t>UT_33</t>
  </si>
  <si>
    <t>UT_34</t>
  </si>
  <si>
    <t>UT_35</t>
  </si>
  <si>
    <t>UT_36</t>
  </si>
  <si>
    <t>UT_37</t>
  </si>
  <si>
    <t>UT_38</t>
  </si>
  <si>
    <t>UT_39</t>
  </si>
  <si>
    <t>UT_40</t>
  </si>
  <si>
    <t>UT_41</t>
  </si>
  <si>
    <t>UT_42</t>
  </si>
  <si>
    <t>UT_44</t>
  </si>
  <si>
    <t>UT_51</t>
  </si>
  <si>
    <t>UT_52</t>
  </si>
  <si>
    <t>UT_53</t>
  </si>
  <si>
    <t>UT_54</t>
  </si>
  <si>
    <t>UT_55</t>
  </si>
  <si>
    <t>UT_56</t>
  </si>
  <si>
    <t>UT_61</t>
  </si>
  <si>
    <t>UT_62</t>
  </si>
  <si>
    <t>nokalk</t>
  </si>
  <si>
    <t>nofor</t>
  </si>
  <si>
    <t>nopre</t>
  </si>
  <si>
    <t>nosam</t>
  </si>
  <si>
    <t>Estimat</t>
  </si>
  <si>
    <t>skkalk</t>
  </si>
  <si>
    <t>Estimat sammendrag</t>
  </si>
  <si>
    <t>sksam</t>
  </si>
  <si>
    <t>Likviditetsplan</t>
  </si>
  <si>
    <t>likvid</t>
  </si>
  <si>
    <t>beregnes overtiden automatisk basert på normalhonoraret fra linjen over:</t>
  </si>
  <si>
    <t xml:space="preserve">Vær klar over at overtidenprosenten på denne måte blir beregnet av hele honoraret, slik at for funksjoner </t>
  </si>
  <si>
    <t xml:space="preserve">Eks.: For en rekvisitør med 30 dagers forarbeid og 30 dagers opptak, hvor det er forutsatt i snitt 2 timer </t>
  </si>
  <si>
    <t>overtid i opptaksperioden, brukes 40% / 2 = 20 %.</t>
  </si>
  <si>
    <t>start</t>
  </si>
  <si>
    <t>Velg her</t>
  </si>
  <si>
    <t>Prod. selskap:</t>
  </si>
  <si>
    <t>SAMMENDRAG SLUTTKOSTNADSESTIMAT</t>
  </si>
  <si>
    <t>Rapport</t>
  </si>
  <si>
    <t>rapp</t>
  </si>
  <si>
    <t>Standard MVA sats</t>
  </si>
  <si>
    <t>Total:</t>
  </si>
  <si>
    <t>LOCATIONUTSTYR</t>
  </si>
  <si>
    <t>SET KOSTYMØR</t>
  </si>
  <si>
    <t>- OVERTID SET KOSTYMØR</t>
  </si>
  <si>
    <t>MASKØR/SMINKØR</t>
  </si>
  <si>
    <t>- OVERTID MASKØR/SMINKØR</t>
  </si>
  <si>
    <t>LYSKRAN / LIFT</t>
  </si>
  <si>
    <t>PRESSEMEDARBEIDER, OPPTAK</t>
  </si>
  <si>
    <t>COLLECTING AGENT</t>
  </si>
  <si>
    <t>OBL. TJENESTEPENSJON</t>
  </si>
  <si>
    <t>TEASER</t>
  </si>
  <si>
    <t>LANS. MATR. UNDER OPPTAK</t>
  </si>
  <si>
    <t>TEASER PLAKAT</t>
  </si>
  <si>
    <t>ROLLE 30</t>
  </si>
  <si>
    <t>ROLLE 31</t>
  </si>
  <si>
    <t>ROLLE 32</t>
  </si>
  <si>
    <t>ROLLE 33</t>
  </si>
  <si>
    <t>ROLLE 34</t>
  </si>
  <si>
    <t>ROLLE 35</t>
  </si>
  <si>
    <t>ROLLE 36</t>
  </si>
  <si>
    <t>ROLLE 37</t>
  </si>
  <si>
    <t>ROLLE 38</t>
  </si>
  <si>
    <t>ROLLE 39</t>
  </si>
  <si>
    <t>med langt forarbeid, hvor det ikke forutsettes samme overtid hele perioden, må prosentsatsen reduseres tilsvarende.</t>
  </si>
  <si>
    <r>
      <t xml:space="preserve">Følgende % satser </t>
    </r>
    <r>
      <rPr>
        <b/>
        <sz val="10"/>
        <rFont val="Helv"/>
        <family val="0"/>
      </rPr>
      <t>kan</t>
    </r>
    <r>
      <rPr>
        <sz val="10"/>
        <rFont val="Helv"/>
        <family val="0"/>
      </rPr>
      <t xml:space="preserve"> benyttes for beregning av overtid.</t>
    </r>
  </si>
  <si>
    <t xml:space="preserve">Ved produksjoner med mye nattopptak eller eller helgearbeid  som f. eks. ved 6 dagers opptaksuke, </t>
  </si>
  <si>
    <t>må % satsen justeres for å gjenspeile de ekstra kostnader dette vil medføre.</t>
  </si>
  <si>
    <t>Lav MVA sats, persontransport</t>
  </si>
  <si>
    <t>MOBILTELEFON</t>
  </si>
  <si>
    <t>NETTVERK/BREDBÅND</t>
  </si>
  <si>
    <t>LOWLOADER</t>
  </si>
  <si>
    <t>FRIKJØP REPRISE TV-DRAMA</t>
  </si>
  <si>
    <t>ARBEIDSTILLS</t>
  </si>
  <si>
    <t>Liste</t>
  </si>
  <si>
    <t>Koblet celle</t>
  </si>
  <si>
    <t>DCP</t>
  </si>
  <si>
    <t>Opptaksformat digital/video</t>
  </si>
  <si>
    <t>minutter</t>
  </si>
  <si>
    <t>LOCATION SCOUT</t>
  </si>
  <si>
    <t>DIT</t>
  </si>
  <si>
    <t>- OVERTID DIT</t>
  </si>
  <si>
    <t>MOBIL LAB</t>
  </si>
  <si>
    <t>LOGGER/OPPSYNKER</t>
  </si>
  <si>
    <t>REFERANSEMUSIKK</t>
  </si>
  <si>
    <t>- OVERTID LOCATION SCOUT</t>
  </si>
  <si>
    <t>- OVERTID LOGGER/OPPSYNKER</t>
  </si>
  <si>
    <t>XXXXXX</t>
  </si>
  <si>
    <t>SCANNING TIL OFFLINE</t>
  </si>
  <si>
    <t>DIGIBETA TV MASTER</t>
  </si>
  <si>
    <t>DCP MASTER 2 D</t>
  </si>
  <si>
    <t>DCP MASTER 3 D</t>
  </si>
  <si>
    <t>LTO MASTER BACKUP</t>
  </si>
  <si>
    <t>KOORDINERING</t>
  </si>
  <si>
    <t>KINOLEIE</t>
  </si>
  <si>
    <t>HARDDSIKER</t>
  </si>
  <si>
    <t>LOGG AV NEGATIV</t>
  </si>
  <si>
    <t>OPPLAST FTP</t>
  </si>
  <si>
    <t>HD SCANNING</t>
  </si>
  <si>
    <t>CONFORM</t>
  </si>
  <si>
    <t>SPLITCHECK</t>
  </si>
  <si>
    <t>INNLAST ONLINE</t>
  </si>
  <si>
    <t>ONLINE DESPOTTING</t>
  </si>
  <si>
    <t>ONLINE RETUSJ</t>
  </si>
  <si>
    <t>ONLINE TEKSTER</t>
  </si>
  <si>
    <t>ONLINE DFX</t>
  </si>
  <si>
    <t>ANDRE ONLINE KOSTNADER</t>
  </si>
  <si>
    <t>LYSSETTING/GRADING</t>
  </si>
  <si>
    <t>LYSSETTING/GRADING TV/DVD</t>
  </si>
  <si>
    <t>UTKOPIERING TIL MIX/TEKSTING</t>
  </si>
  <si>
    <t>TEKSTING</t>
  </si>
  <si>
    <t>LYD LAYBACK</t>
  </si>
  <si>
    <t>HDSR MASTER 24 bps</t>
  </si>
  <si>
    <t>HDSR MASTER 25 bps</t>
  </si>
  <si>
    <t>SENDEMASTER TV</t>
  </si>
  <si>
    <t>PÅSYNSKOPIER</t>
  </si>
  <si>
    <t>MASTER POSITIV</t>
  </si>
  <si>
    <t>INTERNEGATIV</t>
  </si>
  <si>
    <t>LYSSETTING INTERNEGATIV</t>
  </si>
  <si>
    <t>LYDNEGATIV</t>
  </si>
  <si>
    <t>TRAILER/TEASER</t>
  </si>
  <si>
    <t>SERVERLEIE</t>
  </si>
  <si>
    <t>BÅNDMASKINER</t>
  </si>
  <si>
    <t>TAPE</t>
  </si>
  <si>
    <t>BILANSVARLIG</t>
  </si>
  <si>
    <t>- OVERTID BILANSVARLIG</t>
  </si>
  <si>
    <t>56 BILDE ETTERARBEID / LABORATORIUM</t>
  </si>
  <si>
    <t>Bilde etterarbeid / laboratorium</t>
  </si>
  <si>
    <t>AVGIFT TIL FORENINGER</t>
  </si>
  <si>
    <t>v. 5.1</t>
  </si>
</sst>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NOK&quot;\ #,##0;\-&quot;NOK&quot;\ #,##0"/>
    <numFmt numFmtId="165" formatCode="&quot;NOK&quot;\ #,##0;[Red]\-&quot;NOK&quot;\ #,##0"/>
    <numFmt numFmtId="166" formatCode="&quot;NOK&quot;\ #,##0.00;\-&quot;NOK&quot;\ #,##0.00"/>
    <numFmt numFmtId="167" formatCode="&quot;NOK&quot;\ #,##0.00;[Red]\-&quot;NOK&quot;\ #,##0.00"/>
    <numFmt numFmtId="168" formatCode="_-&quot;NOK&quot;\ * #,##0_-;\-&quot;NOK&quot;\ * #,##0_-;_-&quot;NOK&quot;\ * &quot;-&quot;_-;_-@_-"/>
    <numFmt numFmtId="169" formatCode="_-* #,##0_-;\-* #,##0_-;_-* &quot;-&quot;_-;_-@_-"/>
    <numFmt numFmtId="170" formatCode="_-&quot;NOK&quot;\ * #,##0.00_-;\-&quot;NOK&quot;\ * #,##0.00_-;_-&quot;NOK&quot;\ *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General_)"/>
    <numFmt numFmtId="189" formatCode="dd/mm/yy_)"/>
    <numFmt numFmtId="190" formatCode="hh/mm/ss_)"/>
    <numFmt numFmtId="191" formatCode="0%"/>
    <numFmt numFmtId="192" formatCode="0.0"/>
    <numFmt numFmtId="193" formatCode="#\ ###\ ###\ ##0"/>
    <numFmt numFmtId="194" formatCode="d/m/"/>
    <numFmt numFmtId="195" formatCode="#,##0.##"/>
    <numFmt numFmtId="196" formatCode="0.##"/>
    <numFmt numFmtId="197" formatCode="0#.##"/>
    <numFmt numFmtId="198" formatCode="d/m/yy"/>
    <numFmt numFmtId="199" formatCode="d/m/yyyy"/>
    <numFmt numFmtId="200" formatCode="0.0\ %"/>
    <numFmt numFmtId="201" formatCode="h:mm"/>
    <numFmt numFmtId="202" formatCode="d/\ mmm\.\ yyyy"/>
    <numFmt numFmtId="203" formatCode="0.#"/>
    <numFmt numFmtId="204" formatCode="#.#"/>
    <numFmt numFmtId="205" formatCode="##\-####"/>
    <numFmt numFmtId="206" formatCode="d/\ mmmm\ yyyy"/>
    <numFmt numFmtId="207" formatCode="###\ ###\ ##0"/>
    <numFmt numFmtId="208" formatCode="###,###,##0"/>
    <numFmt numFmtId="209" formatCode="##,###,##0;[Red]\-##,###,##0"/>
    <numFmt numFmtId="210" formatCode="&quot;kr&quot;\ #,##0"/>
    <numFmt numFmtId="211" formatCode="mmmm\ yy"/>
    <numFmt numFmtId="212" formatCode="mmm\.\ yy"/>
    <numFmt numFmtId="213" formatCode="mmm\.\ yyyy"/>
    <numFmt numFmtId="214" formatCode="mmm/yyyy"/>
    <numFmt numFmtId="215" formatCode="mmmm\ yyyy"/>
    <numFmt numFmtId="216" formatCode="[$-7000000]0"/>
    <numFmt numFmtId="217" formatCode="&quot;Ja&quot;;&quot;Ja&quot;;&quot;Nei&quot;"/>
    <numFmt numFmtId="218" formatCode="&quot;Sann&quot;;&quot;Sann&quot;;&quot;Usann&quot;"/>
    <numFmt numFmtId="219" formatCode="&quot;På&quot;;&quot;På&quot;;&quot;Av&quot;"/>
  </numFmts>
  <fonts count="75">
    <font>
      <sz val="10"/>
      <name val="Helv"/>
      <family val="0"/>
    </font>
    <font>
      <b/>
      <sz val="10"/>
      <name val="Arial"/>
      <family val="0"/>
    </font>
    <font>
      <i/>
      <sz val="10"/>
      <name val="Arial"/>
      <family val="0"/>
    </font>
    <font>
      <b/>
      <i/>
      <sz val="10"/>
      <name val="Arial"/>
      <family val="0"/>
    </font>
    <font>
      <sz val="10"/>
      <name val="Arial"/>
      <family val="0"/>
    </font>
    <font>
      <sz val="8"/>
      <name val="Arial"/>
      <family val="0"/>
    </font>
    <font>
      <sz val="8"/>
      <color indexed="12"/>
      <name val="Arial"/>
      <family val="0"/>
    </font>
    <font>
      <sz val="14"/>
      <name val="Arial"/>
      <family val="2"/>
    </font>
    <font>
      <sz val="13"/>
      <name val="Arial"/>
      <family val="2"/>
    </font>
    <font>
      <b/>
      <sz val="11"/>
      <name val="Arial"/>
      <family val="2"/>
    </font>
    <font>
      <sz val="11"/>
      <name val="Arial"/>
      <family val="2"/>
    </font>
    <font>
      <b/>
      <sz val="8"/>
      <name val="Arial"/>
      <family val="2"/>
    </font>
    <font>
      <sz val="8"/>
      <name val="Helv"/>
      <family val="0"/>
    </font>
    <font>
      <sz val="7"/>
      <name val="Arial"/>
      <family val="2"/>
    </font>
    <font>
      <sz val="7"/>
      <color indexed="12"/>
      <name val="Arial"/>
      <family val="2"/>
    </font>
    <font>
      <b/>
      <sz val="12"/>
      <name val="Arial"/>
      <family val="2"/>
    </font>
    <font>
      <sz val="10"/>
      <color indexed="12"/>
      <name val="Arial"/>
      <family val="2"/>
    </font>
    <font>
      <sz val="10"/>
      <color indexed="9"/>
      <name val="Arial"/>
      <family val="2"/>
    </font>
    <font>
      <sz val="12"/>
      <name val="Arial"/>
      <family val="2"/>
    </font>
    <font>
      <b/>
      <sz val="13"/>
      <name val="Arial"/>
      <family val="2"/>
    </font>
    <font>
      <b/>
      <sz val="10"/>
      <name val="Helv"/>
      <family val="0"/>
    </font>
    <font>
      <sz val="26"/>
      <name val="Arial"/>
      <family val="2"/>
    </font>
    <font>
      <sz val="8"/>
      <color indexed="9"/>
      <name val="Arial"/>
      <family val="2"/>
    </font>
    <font>
      <sz val="10"/>
      <color indexed="10"/>
      <name val="Arial"/>
      <family val="2"/>
    </font>
    <font>
      <sz val="10"/>
      <color indexed="12"/>
      <name val="Helv"/>
      <family val="0"/>
    </font>
    <font>
      <sz val="11"/>
      <name val="Helv"/>
      <family val="0"/>
    </font>
    <font>
      <sz val="9"/>
      <name val="Arial"/>
      <family val="2"/>
    </font>
    <font>
      <b/>
      <sz val="9"/>
      <color indexed="10"/>
      <name val="Arial"/>
      <family val="2"/>
    </font>
    <font>
      <b/>
      <sz val="9"/>
      <color indexed="8"/>
      <name val="Arial"/>
      <family val="2"/>
    </font>
    <font>
      <sz val="8"/>
      <name val="Tahoma"/>
      <family val="0"/>
    </font>
    <font>
      <b/>
      <sz val="8"/>
      <name val="Tahoma"/>
      <family val="0"/>
    </font>
    <font>
      <sz val="10"/>
      <color indexed="23"/>
      <name val="Helv"/>
      <family val="0"/>
    </font>
    <font>
      <sz val="16"/>
      <name val="Arial"/>
      <family val="2"/>
    </font>
    <font>
      <sz val="14"/>
      <name val="Helv"/>
      <family val="0"/>
    </font>
    <font>
      <b/>
      <sz val="9"/>
      <name val="Arial"/>
      <family val="2"/>
    </font>
    <font>
      <sz val="1"/>
      <name val="Arial"/>
      <family val="2"/>
    </font>
    <font>
      <sz val="18"/>
      <color indexed="23"/>
      <name val="Arial"/>
      <family val="2"/>
    </font>
    <font>
      <b/>
      <sz val="9"/>
      <color indexed="12"/>
      <name val="Arial"/>
      <family val="2"/>
    </font>
    <font>
      <u val="single"/>
      <sz val="10"/>
      <color indexed="36"/>
      <name val="Arial"/>
      <family val="0"/>
    </font>
    <font>
      <u val="single"/>
      <sz val="10"/>
      <color indexed="12"/>
      <name val="Arial"/>
      <family val="0"/>
    </font>
    <font>
      <sz val="8"/>
      <color indexed="15"/>
      <name val="Arial"/>
      <family val="2"/>
    </font>
    <font>
      <sz val="7"/>
      <color indexed="15"/>
      <name val="Arial"/>
      <family val="2"/>
    </font>
    <font>
      <sz val="10"/>
      <color indexed="15"/>
      <name val="Helv"/>
      <family val="0"/>
    </font>
    <font>
      <b/>
      <sz val="9"/>
      <color indexed="9"/>
      <name val="Helv"/>
      <family val="0"/>
    </font>
    <font>
      <b/>
      <sz val="10"/>
      <color indexed="9"/>
      <name val="Arial"/>
      <family val="2"/>
    </font>
    <font>
      <b/>
      <sz val="8"/>
      <color indexed="8"/>
      <name val="Arial"/>
      <family val="2"/>
    </font>
    <font>
      <b/>
      <sz val="9"/>
      <name val="Helv"/>
      <family val="0"/>
    </font>
    <font>
      <sz val="8"/>
      <color indexed="9"/>
      <name val="Helv"/>
      <family val="0"/>
    </font>
    <font>
      <sz val="9"/>
      <name val="Helv"/>
      <family val="0"/>
    </font>
    <font>
      <b/>
      <sz val="10"/>
      <color indexed="23"/>
      <name val="Arial"/>
      <family val="0"/>
    </font>
    <font>
      <sz val="12"/>
      <color indexed="8"/>
      <name val="Calibri"/>
      <family val="2"/>
    </font>
    <font>
      <sz val="12"/>
      <color indexed="9"/>
      <name val="Calibri"/>
      <family val="2"/>
    </font>
    <font>
      <b/>
      <sz val="12"/>
      <color indexed="52"/>
      <name val="Calibri"/>
      <family val="2"/>
    </font>
    <font>
      <sz val="12"/>
      <color indexed="20"/>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b/>
      <sz val="12"/>
      <color indexed="9"/>
      <name val="Calibri"/>
      <family val="2"/>
    </font>
    <font>
      <sz val="12"/>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63"/>
      <name val="Calibri"/>
      <family val="2"/>
    </font>
    <font>
      <sz val="12"/>
      <color indexed="10"/>
      <name val="Calibri"/>
      <family val="2"/>
    </font>
    <font>
      <b/>
      <sz val="12"/>
      <color indexed="8"/>
      <name val="Arial"/>
      <family val="0"/>
    </font>
    <font>
      <sz val="10"/>
      <color indexed="8"/>
      <name val="Arial"/>
      <family val="0"/>
    </font>
    <font>
      <b/>
      <sz val="11.5"/>
      <color indexed="8"/>
      <name val="Arial"/>
      <family val="0"/>
    </font>
    <font>
      <b/>
      <sz val="10"/>
      <color indexed="8"/>
      <name val="Arial"/>
      <family val="0"/>
    </font>
    <font>
      <i/>
      <sz val="10"/>
      <color indexed="8"/>
      <name val="Arial"/>
      <family val="0"/>
    </font>
    <font>
      <b/>
      <i/>
      <sz val="10"/>
      <color indexed="8"/>
      <name val="Arial"/>
      <family val="0"/>
    </font>
    <font>
      <u val="single"/>
      <sz val="10"/>
      <color indexed="8"/>
      <name val="Arial"/>
      <family val="0"/>
    </font>
    <font>
      <b/>
      <sz val="8"/>
      <name val="Helv"/>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
      <patternFill patternType="solid">
        <fgColor indexed="23"/>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hair"/>
      <right>
        <color indexed="63"/>
      </right>
      <top style="hair"/>
      <bottom style="hair"/>
    </border>
    <border>
      <left style="hair">
        <color indexed="8"/>
      </left>
      <right>
        <color indexed="63"/>
      </right>
      <top style="hair">
        <color indexed="8"/>
      </top>
      <bottom style="hair">
        <color indexed="8"/>
      </bottom>
    </border>
    <border>
      <left style="hair"/>
      <right>
        <color indexed="63"/>
      </right>
      <top style="hair"/>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hair"/>
      <right style="hair"/>
      <top style="hair"/>
      <bottom style="hair"/>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right>
        <color indexed="63"/>
      </right>
      <top style="hair">
        <color indexed="8"/>
      </top>
      <bottom style="hair"/>
    </border>
    <border>
      <left>
        <color indexed="63"/>
      </left>
      <right style="hair"/>
      <top style="hair"/>
      <bottom style="hair"/>
    </border>
    <border>
      <left>
        <color indexed="63"/>
      </left>
      <right style="hair"/>
      <top style="hair"/>
      <bottom>
        <color indexed="63"/>
      </bottom>
    </border>
    <border>
      <left style="thin"/>
      <right style="thin"/>
      <top style="thin"/>
      <bottom style="hair"/>
    </border>
    <border>
      <left style="thin"/>
      <right style="thin"/>
      <top style="hair"/>
      <bottom style="hair"/>
    </border>
    <border>
      <left>
        <color indexed="63"/>
      </left>
      <right>
        <color indexed="63"/>
      </right>
      <top style="hair">
        <color indexed="8"/>
      </top>
      <bottom style="hair">
        <color indexed="8"/>
      </bottom>
    </border>
    <border>
      <left style="hair"/>
      <right style="hair"/>
      <top style="hair">
        <color indexed="8"/>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medium"/>
      <bottom style="hair"/>
    </border>
    <border>
      <left style="hair"/>
      <right style="hair"/>
      <top style="medium"/>
      <bottom style="double"/>
    </border>
    <border>
      <left>
        <color indexed="63"/>
      </left>
      <right>
        <color indexed="63"/>
      </right>
      <top style="double">
        <color indexed="8"/>
      </top>
      <bottom>
        <color indexed="63"/>
      </bottom>
    </border>
    <border>
      <left style="thin"/>
      <right style="thin"/>
      <top style="hair">
        <color indexed="8"/>
      </top>
      <bottom style="double">
        <color indexed="8"/>
      </bottom>
    </border>
    <border>
      <left style="thin"/>
      <right style="thin"/>
      <top>
        <color indexed="63"/>
      </top>
      <bottom style="double">
        <color indexed="8"/>
      </bottom>
    </border>
    <border>
      <left style="thin"/>
      <right style="thin"/>
      <top style="hair"/>
      <bottom style="thin"/>
    </border>
    <border>
      <left>
        <color indexed="63"/>
      </left>
      <right style="thin"/>
      <top>
        <color indexed="63"/>
      </top>
      <bottom>
        <color indexed="63"/>
      </bottom>
    </border>
    <border>
      <left style="hair">
        <color indexed="8"/>
      </left>
      <right>
        <color indexed="63"/>
      </right>
      <top style="hair">
        <color indexed="8"/>
      </top>
      <bottom style="hair"/>
    </border>
    <border>
      <left>
        <color indexed="63"/>
      </left>
      <right style="hair">
        <color indexed="8"/>
      </right>
      <top style="hair">
        <color indexed="8"/>
      </top>
      <bottom style="hair"/>
    </border>
    <border>
      <left style="hair">
        <color indexed="8"/>
      </left>
      <right style="thin"/>
      <top style="hair">
        <color indexed="8"/>
      </top>
      <bottom style="hair"/>
    </border>
    <border>
      <left style="thin"/>
      <right style="thin"/>
      <top>
        <color indexed="63"/>
      </top>
      <bottom>
        <color indexed="63"/>
      </bottom>
    </border>
    <border>
      <left style="thin"/>
      <right style="thin"/>
      <top style="thin"/>
      <bottom style="double">
        <color indexed="8"/>
      </bottom>
    </border>
    <border>
      <left style="thin"/>
      <right style="thin"/>
      <top style="hair">
        <color indexed="8"/>
      </top>
      <bottom style="hair">
        <color indexed="8"/>
      </bottom>
    </border>
    <border>
      <left style="thin"/>
      <right style="thin"/>
      <top>
        <color indexed="63"/>
      </top>
      <bottom style="hair"/>
    </border>
    <border>
      <left style="medium"/>
      <right style="medium"/>
      <top style="medium"/>
      <bottom style="hair"/>
    </border>
    <border>
      <left style="medium"/>
      <right style="medium"/>
      <top style="hair"/>
      <bottom style="medium"/>
    </border>
    <border>
      <left style="hair"/>
      <right style="hair"/>
      <top style="hair"/>
      <bottom>
        <color indexed="63"/>
      </bottom>
    </border>
    <border>
      <left style="medium"/>
      <right style="medium"/>
      <top style="hair"/>
      <bottom>
        <color indexed="63"/>
      </bottom>
    </border>
    <border>
      <left style="medium"/>
      <right style="medium"/>
      <top>
        <color indexed="63"/>
      </top>
      <bottom style="thin"/>
    </border>
    <border>
      <left style="thin"/>
      <right style="thin"/>
      <top style="thin"/>
      <bottom style="thin"/>
    </border>
    <border>
      <left style="medium"/>
      <right style="medium"/>
      <top style="thin"/>
      <bottom style="thin"/>
    </border>
    <border>
      <left style="medium"/>
      <right style="medium"/>
      <top>
        <color indexed="63"/>
      </top>
      <bottom style="hair"/>
    </border>
    <border>
      <left style="hair"/>
      <right style="hair"/>
      <top>
        <color indexed="63"/>
      </top>
      <bottom style="hair"/>
    </border>
    <border>
      <left style="medium"/>
      <right style="medium"/>
      <top style="hair"/>
      <bottom style="hair"/>
    </border>
    <border>
      <left style="hair"/>
      <right style="hair"/>
      <top style="hair"/>
      <bottom style="medium"/>
    </border>
    <border>
      <left style="thin"/>
      <right style="thin"/>
      <top style="medium"/>
      <bottom style="hair"/>
    </border>
    <border>
      <left style="medium"/>
      <right style="medium"/>
      <top style="medium"/>
      <bottom style="double"/>
    </border>
    <border>
      <left style="medium"/>
      <right style="medium"/>
      <top style="medium"/>
      <bottom style="medium"/>
    </border>
    <border>
      <left style="hair"/>
      <right style="hair"/>
      <top style="hair"/>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18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50" fillId="8" borderId="0" applyNumberFormat="0" applyBorder="0" applyAlignment="0" applyProtection="0"/>
    <xf numFmtId="0" fontId="50" fillId="7" borderId="0" applyNumberFormat="0" applyBorder="0" applyAlignment="0" applyProtection="0"/>
    <xf numFmtId="0" fontId="51" fillId="9" borderId="0" applyNumberFormat="0" applyBorder="0" applyAlignment="0" applyProtection="0"/>
    <xf numFmtId="0" fontId="51" fillId="3" borderId="0" applyNumberFormat="0" applyBorder="0" applyAlignment="0" applyProtection="0"/>
    <xf numFmtId="0" fontId="51" fillId="7"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3" borderId="0" applyNumberFormat="0" applyBorder="0" applyAlignment="0" applyProtection="0"/>
    <xf numFmtId="0" fontId="38" fillId="0" borderId="0" applyNumberFormat="0" applyFill="0" applyBorder="0" applyAlignment="0" applyProtection="0"/>
    <xf numFmtId="0" fontId="52" fillId="10" borderId="1" applyNumberFormat="0" applyAlignment="0" applyProtection="0"/>
    <xf numFmtId="0" fontId="53" fillId="11" borderId="0" applyNumberFormat="0" applyBorder="0" applyAlignment="0" applyProtection="0"/>
    <xf numFmtId="0" fontId="54" fillId="0" borderId="0" applyNumberFormat="0" applyFill="0" applyBorder="0" applyAlignment="0" applyProtection="0"/>
    <xf numFmtId="0" fontId="55" fillId="12" borderId="0" applyNumberFormat="0" applyBorder="0" applyAlignment="0" applyProtection="0"/>
    <xf numFmtId="0" fontId="39" fillId="0" borderId="0" applyNumberFormat="0" applyFill="0" applyBorder="0" applyAlignment="0" applyProtection="0"/>
    <xf numFmtId="0" fontId="56" fillId="7" borderId="1" applyNumberFormat="0" applyAlignment="0" applyProtection="0"/>
    <xf numFmtId="0" fontId="57" fillId="0" borderId="2" applyNumberFormat="0" applyFill="0" applyAlignment="0" applyProtection="0"/>
    <xf numFmtId="0" fontId="58" fillId="13" borderId="3" applyNumberFormat="0" applyAlignment="0" applyProtection="0"/>
    <xf numFmtId="0" fontId="0" fillId="4" borderId="4" applyNumberFormat="0" applyFont="0" applyAlignment="0" applyProtection="0"/>
    <xf numFmtId="188" fontId="0" fillId="0" borderId="0">
      <alignment/>
      <protection/>
    </xf>
    <xf numFmtId="0" fontId="59" fillId="7" borderId="0" applyNumberFormat="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187" fontId="4" fillId="0" borderId="0" applyFont="0" applyFill="0" applyBorder="0" applyAlignment="0" applyProtection="0"/>
    <xf numFmtId="185" fontId="4" fillId="0" borderId="0" applyFont="0" applyFill="0" applyBorder="0" applyAlignment="0" applyProtection="0"/>
    <xf numFmtId="0" fontId="65" fillId="10" borderId="9" applyNumberFormat="0" applyAlignment="0" applyProtection="0"/>
    <xf numFmtId="0" fontId="51" fillId="9"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9" borderId="0" applyNumberFormat="0" applyBorder="0" applyAlignment="0" applyProtection="0"/>
    <xf numFmtId="0" fontId="51" fillId="17" borderId="0" applyNumberFormat="0" applyBorder="0" applyAlignment="0" applyProtection="0"/>
    <xf numFmtId="186" fontId="4" fillId="0" borderId="0" applyFont="0" applyFill="0" applyBorder="0" applyAlignment="0" applyProtection="0"/>
    <xf numFmtId="184" fontId="4" fillId="0" borderId="0" applyFont="0" applyFill="0" applyBorder="0" applyAlignment="0" applyProtection="0"/>
    <xf numFmtId="0" fontId="66" fillId="0" borderId="0" applyNumberFormat="0" applyFill="0" applyBorder="0" applyAlignment="0" applyProtection="0"/>
  </cellStyleXfs>
  <cellXfs count="606">
    <xf numFmtId="188" fontId="0" fillId="0" borderId="0" xfId="0" applyAlignment="1">
      <alignment/>
    </xf>
    <xf numFmtId="188" fontId="4" fillId="0" borderId="0" xfId="0" applyFont="1" applyAlignment="1">
      <alignment/>
    </xf>
    <xf numFmtId="188" fontId="5" fillId="0" borderId="0" xfId="0" applyFont="1" applyAlignment="1">
      <alignment/>
    </xf>
    <xf numFmtId="188" fontId="0" fillId="0" borderId="0" xfId="0" applyAlignment="1">
      <alignment/>
    </xf>
    <xf numFmtId="49" fontId="5" fillId="0" borderId="0" xfId="0" applyNumberFormat="1" applyFont="1" applyFill="1" applyBorder="1" applyAlignment="1">
      <alignment/>
    </xf>
    <xf numFmtId="188" fontId="5" fillId="0" borderId="0" xfId="0" applyFont="1" applyAlignment="1">
      <alignment/>
    </xf>
    <xf numFmtId="188" fontId="4" fillId="0" borderId="0" xfId="0" applyFont="1" applyBorder="1" applyAlignment="1">
      <alignment/>
    </xf>
    <xf numFmtId="193" fontId="8" fillId="0" borderId="0" xfId="0" applyNumberFormat="1" applyFont="1" applyBorder="1" applyAlignment="1" applyProtection="1">
      <alignment/>
      <protection/>
    </xf>
    <xf numFmtId="49" fontId="5" fillId="0" borderId="10" xfId="0" applyNumberFormat="1" applyFont="1" applyFill="1" applyBorder="1" applyAlignment="1">
      <alignment/>
    </xf>
    <xf numFmtId="49" fontId="5" fillId="0" borderId="11" xfId="0" applyNumberFormat="1" applyFont="1" applyFill="1" applyBorder="1" applyAlignment="1">
      <alignment/>
    </xf>
    <xf numFmtId="49" fontId="5" fillId="0" borderId="12" xfId="0" applyNumberFormat="1" applyFont="1" applyFill="1" applyBorder="1" applyAlignment="1">
      <alignment/>
    </xf>
    <xf numFmtId="188" fontId="5" fillId="0" borderId="11" xfId="0" applyFont="1" applyBorder="1" applyAlignment="1">
      <alignment/>
    </xf>
    <xf numFmtId="49" fontId="5" fillId="0" borderId="11" xfId="0" applyNumberFormat="1" applyFont="1" applyFill="1" applyBorder="1" applyAlignment="1" quotePrefix="1">
      <alignment/>
    </xf>
    <xf numFmtId="188" fontId="5" fillId="0" borderId="11" xfId="0" applyFont="1" applyFill="1" applyBorder="1" applyAlignment="1">
      <alignment/>
    </xf>
    <xf numFmtId="49" fontId="5" fillId="0" borderId="11" xfId="0" applyNumberFormat="1" applyFont="1" applyFill="1" applyBorder="1" applyAlignment="1">
      <alignment horizontal="left"/>
    </xf>
    <xf numFmtId="188" fontId="10" fillId="0" borderId="0" xfId="0" applyFont="1" applyAlignment="1">
      <alignment/>
    </xf>
    <xf numFmtId="188" fontId="9" fillId="0" borderId="0" xfId="0" applyFont="1" applyAlignment="1">
      <alignment/>
    </xf>
    <xf numFmtId="49" fontId="5" fillId="0" borderId="11" xfId="0" applyNumberFormat="1" applyFont="1" applyBorder="1" applyAlignment="1">
      <alignment/>
    </xf>
    <xf numFmtId="188" fontId="4" fillId="0" borderId="0" xfId="0" applyFont="1" applyAlignment="1">
      <alignment wrapText="1"/>
    </xf>
    <xf numFmtId="188" fontId="13" fillId="0" borderId="0" xfId="0" applyFont="1" applyAlignment="1">
      <alignment/>
    </xf>
    <xf numFmtId="0" fontId="14" fillId="0" borderId="13" xfId="0" applyNumberFormat="1" applyFont="1" applyBorder="1" applyAlignment="1" applyProtection="1">
      <alignment horizontal="left"/>
      <protection locked="0"/>
    </xf>
    <xf numFmtId="188" fontId="14" fillId="0" borderId="0" xfId="0" applyFont="1" applyBorder="1" applyAlignment="1" applyProtection="1">
      <alignment/>
      <protection locked="0"/>
    </xf>
    <xf numFmtId="188" fontId="14" fillId="0" borderId="14" xfId="0" applyFont="1" applyBorder="1" applyAlignment="1" applyProtection="1">
      <alignment/>
      <protection locked="0"/>
    </xf>
    <xf numFmtId="188" fontId="8" fillId="0" borderId="0" xfId="0" applyFont="1" applyBorder="1" applyAlignment="1" applyProtection="1">
      <alignment/>
      <protection/>
    </xf>
    <xf numFmtId="1" fontId="8" fillId="0" borderId="0" xfId="0" applyNumberFormat="1" applyFont="1" applyBorder="1" applyAlignment="1" applyProtection="1">
      <alignment/>
      <protection/>
    </xf>
    <xf numFmtId="188" fontId="4" fillId="0" borderId="0" xfId="0" applyFont="1" applyAlignment="1">
      <alignment horizontal="right" wrapText="1"/>
    </xf>
    <xf numFmtId="1" fontId="5" fillId="18" borderId="15" xfId="0" applyNumberFormat="1" applyFont="1" applyFill="1" applyBorder="1" applyAlignment="1" applyProtection="1">
      <alignment horizontal="right"/>
      <protection/>
    </xf>
    <xf numFmtId="49" fontId="5" fillId="18" borderId="11" xfId="0" applyNumberFormat="1" applyFont="1" applyFill="1" applyBorder="1" applyAlignment="1" applyProtection="1" quotePrefix="1">
      <alignment/>
      <protection/>
    </xf>
    <xf numFmtId="37" fontId="6" fillId="18" borderId="16" xfId="0" applyNumberFormat="1" applyFont="1" applyFill="1" applyBorder="1" applyAlignment="1" applyProtection="1">
      <alignment/>
      <protection/>
    </xf>
    <xf numFmtId="37" fontId="5" fillId="18" borderId="16" xfId="0" applyNumberFormat="1" applyFont="1" applyFill="1" applyBorder="1" applyAlignment="1" applyProtection="1">
      <alignment/>
      <protection/>
    </xf>
    <xf numFmtId="1" fontId="6" fillId="18" borderId="0" xfId="0" applyNumberFormat="1" applyFont="1" applyFill="1" applyAlignment="1" applyProtection="1">
      <alignment horizontal="center"/>
      <protection/>
    </xf>
    <xf numFmtId="49" fontId="5" fillId="18" borderId="11" xfId="0" applyNumberFormat="1" applyFont="1" applyFill="1" applyBorder="1" applyAlignment="1" applyProtection="1">
      <alignment/>
      <protection/>
    </xf>
    <xf numFmtId="9" fontId="6" fillId="18" borderId="16" xfId="0" applyNumberFormat="1" applyFont="1" applyFill="1" applyBorder="1" applyAlignment="1" applyProtection="1">
      <alignment/>
      <protection/>
    </xf>
    <xf numFmtId="3" fontId="5" fillId="0" borderId="0" xfId="0" applyNumberFormat="1" applyFont="1" applyAlignment="1" applyProtection="1">
      <alignment horizontal="center"/>
      <protection/>
    </xf>
    <xf numFmtId="3" fontId="5" fillId="0" borderId="0" xfId="0" applyNumberFormat="1" applyFont="1" applyAlignment="1" applyProtection="1">
      <alignment horizontal="center"/>
      <protection/>
    </xf>
    <xf numFmtId="3" fontId="5" fillId="0" borderId="0" xfId="0" applyNumberFormat="1" applyFont="1" applyAlignment="1" applyProtection="1">
      <alignment horizontal="right"/>
      <protection/>
    </xf>
    <xf numFmtId="3" fontId="6" fillId="0" borderId="0" xfId="0" applyNumberFormat="1" applyFont="1" applyAlignment="1" applyProtection="1">
      <alignment horizontal="center"/>
      <protection locked="0"/>
    </xf>
    <xf numFmtId="3" fontId="6" fillId="0" borderId="16" xfId="0" applyNumberFormat="1" applyFont="1" applyBorder="1" applyAlignment="1" applyProtection="1">
      <alignment/>
      <protection/>
    </xf>
    <xf numFmtId="3" fontId="6" fillId="0" borderId="0" xfId="0" applyNumberFormat="1" applyFont="1" applyAlignment="1" applyProtection="1">
      <alignment horizontal="center"/>
      <protection/>
    </xf>
    <xf numFmtId="3" fontId="11" fillId="0" borderId="0" xfId="0" applyNumberFormat="1" applyFont="1" applyBorder="1" applyAlignment="1" applyProtection="1">
      <alignment/>
      <protection/>
    </xf>
    <xf numFmtId="3" fontId="6" fillId="0" borderId="16" xfId="0" applyNumberFormat="1" applyFont="1" applyBorder="1" applyAlignment="1" applyProtection="1">
      <alignment/>
      <protection locked="0"/>
    </xf>
    <xf numFmtId="3" fontId="5" fillId="0" borderId="0" xfId="0" applyNumberFormat="1" applyFont="1" applyBorder="1" applyAlignment="1" applyProtection="1">
      <alignment/>
      <protection/>
    </xf>
    <xf numFmtId="3" fontId="12" fillId="0" borderId="0" xfId="0" applyNumberFormat="1" applyFont="1" applyAlignment="1" applyProtection="1">
      <alignment/>
      <protection/>
    </xf>
    <xf numFmtId="3" fontId="12" fillId="0" borderId="0" xfId="0" applyNumberFormat="1" applyFont="1" applyAlignment="1">
      <alignment/>
    </xf>
    <xf numFmtId="3" fontId="5" fillId="0" borderId="0" xfId="0" applyNumberFormat="1" applyFont="1" applyAlignment="1" applyProtection="1">
      <alignment/>
      <protection/>
    </xf>
    <xf numFmtId="3" fontId="6" fillId="0" borderId="0" xfId="0" applyNumberFormat="1" applyFont="1" applyAlignment="1" applyProtection="1">
      <alignment horizontal="center"/>
      <protection/>
    </xf>
    <xf numFmtId="3" fontId="5" fillId="0" borderId="0" xfId="0" applyNumberFormat="1" applyFont="1" applyBorder="1" applyAlignment="1" applyProtection="1">
      <alignment/>
      <protection/>
    </xf>
    <xf numFmtId="3" fontId="6" fillId="0" borderId="0" xfId="0" applyNumberFormat="1" applyFont="1" applyBorder="1" applyAlignment="1" applyProtection="1">
      <alignment/>
      <protection/>
    </xf>
    <xf numFmtId="3" fontId="5" fillId="0" borderId="0" xfId="0" applyNumberFormat="1" applyFont="1" applyAlignment="1">
      <alignment/>
    </xf>
    <xf numFmtId="3" fontId="6" fillId="0" borderId="0" xfId="0" applyNumberFormat="1" applyFont="1" applyBorder="1" applyAlignment="1" applyProtection="1">
      <alignment/>
      <protection locked="0"/>
    </xf>
    <xf numFmtId="3" fontId="5" fillId="0" borderId="0" xfId="0" applyNumberFormat="1" applyFont="1" applyAlignment="1">
      <alignment horizontal="center"/>
    </xf>
    <xf numFmtId="188" fontId="13" fillId="0" borderId="0" xfId="0" applyFont="1" applyBorder="1" applyAlignment="1">
      <alignment/>
    </xf>
    <xf numFmtId="49" fontId="5" fillId="0" borderId="17" xfId="0" applyNumberFormat="1" applyFont="1" applyFill="1" applyBorder="1" applyAlignment="1">
      <alignment/>
    </xf>
    <xf numFmtId="49" fontId="5" fillId="0" borderId="18" xfId="0" applyNumberFormat="1" applyFont="1" applyFill="1" applyBorder="1" applyAlignment="1">
      <alignment/>
    </xf>
    <xf numFmtId="188" fontId="12" fillId="0" borderId="0" xfId="0" applyFont="1" applyAlignment="1">
      <alignment/>
    </xf>
    <xf numFmtId="9" fontId="6" fillId="0" borderId="16" xfId="0" applyNumberFormat="1" applyFont="1" applyBorder="1" applyAlignment="1" applyProtection="1">
      <alignment/>
      <protection locked="0"/>
    </xf>
    <xf numFmtId="188" fontId="4" fillId="0" borderId="0" xfId="0" applyFont="1" applyAlignment="1" applyProtection="1">
      <alignment horizontal="left"/>
      <protection/>
    </xf>
    <xf numFmtId="188" fontId="17" fillId="0" borderId="0" xfId="0" applyFont="1" applyAlignment="1" applyProtection="1">
      <alignment horizontal="left"/>
      <protection/>
    </xf>
    <xf numFmtId="0" fontId="14" fillId="18" borderId="13" xfId="0" applyNumberFormat="1" applyFont="1" applyFill="1" applyBorder="1" applyAlignment="1" applyProtection="1">
      <alignment horizontal="left"/>
      <protection/>
    </xf>
    <xf numFmtId="193" fontId="18" fillId="0" borderId="0" xfId="0" applyNumberFormat="1" applyFont="1" applyBorder="1" applyAlignment="1" applyProtection="1">
      <alignment/>
      <protection/>
    </xf>
    <xf numFmtId="188" fontId="18" fillId="0" borderId="0" xfId="0" applyFont="1" applyBorder="1" applyAlignment="1" applyProtection="1">
      <alignment/>
      <protection/>
    </xf>
    <xf numFmtId="49" fontId="18" fillId="0" borderId="0" xfId="0" applyNumberFormat="1" applyFont="1" applyBorder="1" applyAlignment="1" applyProtection="1">
      <alignment/>
      <protection/>
    </xf>
    <xf numFmtId="193" fontId="18" fillId="0" borderId="0" xfId="0" applyNumberFormat="1" applyFont="1" applyAlignment="1" applyProtection="1">
      <alignment/>
      <protection/>
    </xf>
    <xf numFmtId="188" fontId="19" fillId="0" borderId="0" xfId="0" applyFont="1" applyBorder="1" applyAlignment="1" applyProtection="1">
      <alignment/>
      <protection/>
    </xf>
    <xf numFmtId="0" fontId="5" fillId="0" borderId="0" xfId="0" applyNumberFormat="1" applyFont="1" applyAlignment="1">
      <alignment/>
    </xf>
    <xf numFmtId="0" fontId="5" fillId="0" borderId="0" xfId="0" applyNumberFormat="1" applyFont="1" applyAlignment="1" applyProtection="1">
      <alignment horizontal="center"/>
      <protection/>
    </xf>
    <xf numFmtId="0" fontId="6" fillId="0" borderId="19" xfId="0" applyNumberFormat="1" applyFont="1" applyBorder="1" applyAlignment="1" applyProtection="1">
      <alignment/>
      <protection locked="0"/>
    </xf>
    <xf numFmtId="0" fontId="6" fillId="0" borderId="15" xfId="0" applyNumberFormat="1" applyFont="1" applyBorder="1" applyAlignment="1" applyProtection="1">
      <alignment/>
      <protection locked="0"/>
    </xf>
    <xf numFmtId="0" fontId="6" fillId="0" borderId="20" xfId="0" applyNumberFormat="1" applyFont="1" applyBorder="1" applyAlignment="1" applyProtection="1">
      <alignment/>
      <protection locked="0"/>
    </xf>
    <xf numFmtId="0" fontId="6" fillId="0" borderId="13" xfId="0" applyNumberFormat="1" applyFont="1" applyBorder="1" applyAlignment="1" applyProtection="1">
      <alignment/>
      <protection/>
    </xf>
    <xf numFmtId="0" fontId="6" fillId="0" borderId="13" xfId="0" applyNumberFormat="1" applyFont="1" applyBorder="1" applyAlignment="1" applyProtection="1">
      <alignment/>
      <protection locked="0"/>
    </xf>
    <xf numFmtId="0" fontId="5" fillId="0" borderId="0" xfId="0" applyNumberFormat="1" applyFont="1" applyAlignment="1" applyProtection="1">
      <alignment/>
      <protection/>
    </xf>
    <xf numFmtId="0" fontId="6" fillId="0" borderId="16" xfId="0" applyNumberFormat="1" applyFont="1" applyBorder="1" applyAlignment="1" applyProtection="1">
      <alignment/>
      <protection locked="0"/>
    </xf>
    <xf numFmtId="0" fontId="6" fillId="0" borderId="16" xfId="0" applyNumberFormat="1" applyFont="1" applyBorder="1" applyAlignment="1" applyProtection="1">
      <alignment/>
      <protection/>
    </xf>
    <xf numFmtId="0" fontId="6" fillId="0" borderId="0" xfId="0" applyNumberFormat="1" applyFont="1" applyBorder="1" applyAlignment="1" applyProtection="1">
      <alignment/>
      <protection/>
    </xf>
    <xf numFmtId="0" fontId="6" fillId="0" borderId="0" xfId="0" applyNumberFormat="1" applyFont="1" applyBorder="1" applyAlignment="1" applyProtection="1">
      <alignment/>
      <protection locked="0"/>
    </xf>
    <xf numFmtId="188" fontId="0" fillId="10" borderId="0" xfId="0" applyFill="1" applyAlignment="1">
      <alignment/>
    </xf>
    <xf numFmtId="188" fontId="4" fillId="0" borderId="0" xfId="0" applyFont="1" applyAlignment="1">
      <alignment/>
    </xf>
    <xf numFmtId="188" fontId="4" fillId="0" borderId="0" xfId="0" applyFont="1" applyAlignment="1" applyProtection="1">
      <alignment/>
      <protection/>
    </xf>
    <xf numFmtId="37" fontId="4" fillId="0" borderId="0" xfId="0" applyNumberFormat="1" applyFont="1" applyAlignment="1" applyProtection="1">
      <alignment/>
      <protection/>
    </xf>
    <xf numFmtId="3" fontId="16" fillId="0" borderId="0" xfId="0" applyNumberFormat="1" applyFont="1" applyAlignment="1" applyProtection="1">
      <alignment horizontal="right"/>
      <protection locked="0"/>
    </xf>
    <xf numFmtId="188" fontId="21" fillId="0" borderId="0" xfId="0" applyFont="1" applyAlignment="1">
      <alignment/>
    </xf>
    <xf numFmtId="188" fontId="4" fillId="0" borderId="0" xfId="0" applyFont="1" applyBorder="1" applyAlignment="1" applyProtection="1">
      <alignment/>
      <protection locked="0"/>
    </xf>
    <xf numFmtId="188" fontId="4" fillId="0" borderId="0" xfId="0" applyFont="1" applyBorder="1" applyAlignment="1" applyProtection="1">
      <alignment/>
      <protection/>
    </xf>
    <xf numFmtId="193" fontId="4" fillId="0" borderId="0" xfId="0" applyNumberFormat="1" applyFont="1" applyAlignment="1" applyProtection="1">
      <alignment/>
      <protection/>
    </xf>
    <xf numFmtId="193" fontId="4" fillId="0" borderId="0" xfId="0" applyNumberFormat="1" applyFont="1" applyAlignment="1" applyProtection="1">
      <alignment/>
      <protection locked="0"/>
    </xf>
    <xf numFmtId="193" fontId="4" fillId="0" borderId="0" xfId="0" applyNumberFormat="1" applyFont="1" applyBorder="1" applyAlignment="1" applyProtection="1">
      <alignment/>
      <protection/>
    </xf>
    <xf numFmtId="188" fontId="0" fillId="0" borderId="0" xfId="0" applyFont="1" applyAlignment="1">
      <alignment/>
    </xf>
    <xf numFmtId="1" fontId="4" fillId="0" borderId="0" xfId="0" applyNumberFormat="1" applyFont="1" applyAlignment="1">
      <alignment horizontal="center"/>
    </xf>
    <xf numFmtId="37" fontId="4" fillId="0" borderId="0" xfId="0" applyNumberFormat="1" applyFont="1" applyAlignment="1" applyProtection="1">
      <alignment horizontal="right"/>
      <protection/>
    </xf>
    <xf numFmtId="3" fontId="5" fillId="0" borderId="0" xfId="0" applyNumberFormat="1" applyFont="1" applyAlignment="1" applyProtection="1">
      <alignment horizontal="right"/>
      <protection/>
    </xf>
    <xf numFmtId="188" fontId="13" fillId="0" borderId="0" xfId="0" applyFont="1" applyAlignment="1" applyProtection="1">
      <alignment/>
      <protection locked="0"/>
    </xf>
    <xf numFmtId="3" fontId="6" fillId="0" borderId="10" xfId="0" applyNumberFormat="1" applyFont="1" applyBorder="1" applyAlignment="1" applyProtection="1">
      <alignment/>
      <protection locked="0"/>
    </xf>
    <xf numFmtId="3" fontId="6" fillId="0" borderId="12" xfId="0" applyNumberFormat="1" applyFont="1" applyBorder="1" applyAlignment="1" applyProtection="1">
      <alignment/>
      <protection locked="0"/>
    </xf>
    <xf numFmtId="3" fontId="6" fillId="0" borderId="11" xfId="0" applyNumberFormat="1" applyFont="1" applyBorder="1" applyAlignment="1" applyProtection="1">
      <alignment/>
      <protection/>
    </xf>
    <xf numFmtId="3" fontId="6" fillId="0" borderId="11" xfId="0" applyNumberFormat="1" applyFont="1" applyBorder="1" applyAlignment="1" applyProtection="1">
      <alignment/>
      <protection locked="0"/>
    </xf>
    <xf numFmtId="3" fontId="5" fillId="0" borderId="21"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11" xfId="0" applyNumberFormat="1" applyFont="1" applyBorder="1" applyAlignment="1" applyProtection="1">
      <alignment/>
      <protection/>
    </xf>
    <xf numFmtId="3" fontId="5" fillId="0" borderId="11" xfId="0" applyNumberFormat="1" applyFont="1" applyBorder="1" applyAlignment="1" applyProtection="1">
      <alignment/>
      <protection locked="0"/>
    </xf>
    <xf numFmtId="199" fontId="4" fillId="0" borderId="0" xfId="0" applyNumberFormat="1" applyFont="1" applyAlignment="1" applyProtection="1">
      <alignment horizontal="right"/>
      <protection/>
    </xf>
    <xf numFmtId="3" fontId="4" fillId="0" borderId="0" xfId="0" applyNumberFormat="1" applyFont="1" applyBorder="1" applyAlignment="1" applyProtection="1">
      <alignment horizontal="right"/>
      <protection/>
    </xf>
    <xf numFmtId="3" fontId="4" fillId="0" borderId="0" xfId="0" applyNumberFormat="1" applyFont="1" applyBorder="1" applyAlignment="1" applyProtection="1">
      <alignment horizontal="right"/>
      <protection locked="0"/>
    </xf>
    <xf numFmtId="3" fontId="16" fillId="0" borderId="0" xfId="0" applyNumberFormat="1" applyFont="1" applyBorder="1" applyAlignment="1" applyProtection="1">
      <alignment horizontal="right"/>
      <protection locked="0"/>
    </xf>
    <xf numFmtId="3" fontId="4" fillId="0" borderId="0" xfId="0" applyNumberFormat="1" applyFont="1" applyAlignment="1" applyProtection="1">
      <alignment horizontal="right"/>
      <protection/>
    </xf>
    <xf numFmtId="3" fontId="4" fillId="0" borderId="0" xfId="0" applyNumberFormat="1" applyFont="1" applyAlignment="1">
      <alignment horizontal="right"/>
    </xf>
    <xf numFmtId="3" fontId="0" fillId="0" borderId="0" xfId="0" applyNumberFormat="1" applyFont="1" applyAlignment="1">
      <alignment horizontal="right"/>
    </xf>
    <xf numFmtId="188" fontId="4" fillId="0" borderId="0" xfId="0" applyFont="1" applyBorder="1" applyAlignment="1" applyProtection="1">
      <alignment horizontal="right"/>
      <protection/>
    </xf>
    <xf numFmtId="188" fontId="4" fillId="0" borderId="0" xfId="0" applyFont="1" applyAlignment="1">
      <alignment horizontal="right"/>
    </xf>
    <xf numFmtId="188" fontId="1" fillId="0" borderId="0" xfId="0" applyFont="1" applyAlignment="1">
      <alignment horizontal="right"/>
    </xf>
    <xf numFmtId="188" fontId="1" fillId="0" borderId="0" xfId="0" applyFont="1" applyAlignment="1" applyProtection="1">
      <alignment horizontal="right"/>
      <protection/>
    </xf>
    <xf numFmtId="188" fontId="0" fillId="0" borderId="0" xfId="0" applyFont="1" applyAlignment="1">
      <alignment horizontal="right"/>
    </xf>
    <xf numFmtId="188" fontId="9" fillId="18" borderId="0" xfId="0" applyFont="1" applyFill="1" applyAlignment="1" applyProtection="1">
      <alignment horizontal="left"/>
      <protection/>
    </xf>
    <xf numFmtId="188" fontId="10" fillId="18" borderId="0" xfId="0" applyFont="1" applyFill="1" applyAlignment="1">
      <alignment/>
    </xf>
    <xf numFmtId="188" fontId="13" fillId="18" borderId="0" xfId="0" applyFont="1" applyFill="1" applyBorder="1" applyAlignment="1">
      <alignment/>
    </xf>
    <xf numFmtId="3" fontId="5" fillId="18" borderId="0" xfId="0" applyNumberFormat="1" applyFont="1" applyFill="1" applyAlignment="1" applyProtection="1">
      <alignment horizontal="center"/>
      <protection/>
    </xf>
    <xf numFmtId="0" fontId="5" fillId="18" borderId="0" xfId="0" applyNumberFormat="1" applyFont="1" applyFill="1" applyAlignment="1" applyProtection="1">
      <alignment horizontal="center"/>
      <protection/>
    </xf>
    <xf numFmtId="3" fontId="5" fillId="18" borderId="0" xfId="0" applyNumberFormat="1" applyFont="1" applyFill="1" applyAlignment="1" applyProtection="1">
      <alignment horizontal="center"/>
      <protection/>
    </xf>
    <xf numFmtId="188" fontId="7" fillId="0" borderId="0" xfId="0" applyFont="1" applyAlignment="1">
      <alignment/>
    </xf>
    <xf numFmtId="188" fontId="18" fillId="0" borderId="0" xfId="0" applyFont="1" applyAlignment="1">
      <alignment/>
    </xf>
    <xf numFmtId="188" fontId="20" fillId="0" borderId="0" xfId="0" applyFont="1" applyAlignment="1">
      <alignment/>
    </xf>
    <xf numFmtId="49" fontId="5" fillId="18" borderId="23" xfId="0" applyNumberFormat="1" applyFont="1" applyFill="1" applyBorder="1" applyAlignment="1" applyProtection="1" quotePrefix="1">
      <alignment/>
      <protection/>
    </xf>
    <xf numFmtId="49" fontId="5" fillId="18" borderId="23" xfId="0" applyNumberFormat="1" applyFont="1" applyFill="1" applyBorder="1" applyAlignment="1" applyProtection="1">
      <alignment/>
      <protection/>
    </xf>
    <xf numFmtId="1" fontId="5" fillId="18" borderId="15" xfId="0" applyNumberFormat="1" applyFont="1" applyFill="1" applyBorder="1" applyAlignment="1" applyProtection="1">
      <alignment horizontal="left"/>
      <protection/>
    </xf>
    <xf numFmtId="49" fontId="5" fillId="18" borderId="11" xfId="0" applyNumberFormat="1" applyFont="1" applyFill="1" applyBorder="1" applyAlignment="1">
      <alignment/>
    </xf>
    <xf numFmtId="0" fontId="14" fillId="18" borderId="13" xfId="0" applyNumberFormat="1" applyFont="1" applyFill="1" applyBorder="1" applyAlignment="1" applyProtection="1">
      <alignment horizontal="left"/>
      <protection locked="0"/>
    </xf>
    <xf numFmtId="188" fontId="4" fillId="18" borderId="0" xfId="0" applyFont="1" applyFill="1" applyAlignment="1">
      <alignment wrapText="1"/>
    </xf>
    <xf numFmtId="3" fontId="6" fillId="18" borderId="11" xfId="0" applyNumberFormat="1" applyFont="1" applyFill="1" applyBorder="1" applyAlignment="1" applyProtection="1">
      <alignment horizontal="right"/>
      <protection locked="0"/>
    </xf>
    <xf numFmtId="3" fontId="5" fillId="18" borderId="24" xfId="0" applyNumberFormat="1" applyFont="1" applyFill="1" applyBorder="1" applyAlignment="1" applyProtection="1">
      <alignment horizontal="right"/>
      <protection/>
    </xf>
    <xf numFmtId="3" fontId="6" fillId="18" borderId="16" xfId="0" applyNumberFormat="1" applyFont="1" applyFill="1" applyBorder="1" applyAlignment="1" applyProtection="1">
      <alignment horizontal="right"/>
      <protection locked="0"/>
    </xf>
    <xf numFmtId="0" fontId="6" fillId="18" borderId="16" xfId="0" applyNumberFormat="1" applyFont="1" applyFill="1" applyBorder="1" applyAlignment="1" applyProtection="1">
      <alignment horizontal="right"/>
      <protection locked="0"/>
    </xf>
    <xf numFmtId="3" fontId="5" fillId="18" borderId="16" xfId="0" applyNumberFormat="1" applyFont="1" applyFill="1" applyBorder="1" applyAlignment="1" applyProtection="1">
      <alignment horizontal="right"/>
      <protection/>
    </xf>
    <xf numFmtId="3" fontId="6" fillId="18" borderId="16" xfId="0" applyNumberFormat="1" applyFont="1" applyFill="1" applyBorder="1" applyAlignment="1" applyProtection="1">
      <alignment horizontal="right"/>
      <protection/>
    </xf>
    <xf numFmtId="3" fontId="5" fillId="18" borderId="16" xfId="0" applyNumberFormat="1" applyFont="1" applyFill="1" applyBorder="1" applyAlignment="1" applyProtection="1">
      <alignment/>
      <protection/>
    </xf>
    <xf numFmtId="188" fontId="12" fillId="0" borderId="12" xfId="0" applyFont="1" applyBorder="1" applyAlignment="1">
      <alignment horizontal="center" wrapText="1"/>
    </xf>
    <xf numFmtId="188" fontId="12" fillId="0" borderId="20" xfId="0" applyFont="1" applyBorder="1" applyAlignment="1">
      <alignment/>
    </xf>
    <xf numFmtId="188" fontId="0" fillId="0" borderId="25" xfId="0" applyBorder="1" applyAlignment="1">
      <alignment/>
    </xf>
    <xf numFmtId="188" fontId="0" fillId="0" borderId="26" xfId="0" applyBorder="1" applyAlignment="1">
      <alignment/>
    </xf>
    <xf numFmtId="188" fontId="0" fillId="0" borderId="27" xfId="0" applyBorder="1" applyAlignment="1">
      <alignment/>
    </xf>
    <xf numFmtId="188" fontId="12" fillId="0" borderId="27" xfId="0" applyFont="1" applyBorder="1" applyAlignment="1">
      <alignment/>
    </xf>
    <xf numFmtId="188" fontId="12" fillId="0" borderId="28" xfId="0" applyFont="1" applyBorder="1" applyAlignment="1">
      <alignment/>
    </xf>
    <xf numFmtId="188" fontId="0" fillId="0" borderId="28" xfId="0" applyBorder="1" applyAlignment="1">
      <alignment/>
    </xf>
    <xf numFmtId="188" fontId="12" fillId="0" borderId="20" xfId="0" applyFont="1" applyBorder="1" applyAlignment="1">
      <alignment horizontal="center" wrapText="1"/>
    </xf>
    <xf numFmtId="188" fontId="12" fillId="0" borderId="27" xfId="0" applyFont="1" applyBorder="1" applyAlignment="1">
      <alignment horizontal="center" wrapText="1"/>
    </xf>
    <xf numFmtId="10" fontId="0" fillId="0" borderId="26" xfId="0" applyNumberFormat="1" applyBorder="1" applyAlignment="1">
      <alignment/>
    </xf>
    <xf numFmtId="10" fontId="0" fillId="0" borderId="27" xfId="0" applyNumberFormat="1" applyBorder="1" applyAlignment="1">
      <alignment/>
    </xf>
    <xf numFmtId="12" fontId="0" fillId="0" borderId="25" xfId="0" applyNumberFormat="1" applyBorder="1" applyAlignment="1">
      <alignment horizontal="center"/>
    </xf>
    <xf numFmtId="12" fontId="0" fillId="0" borderId="28" xfId="0" applyNumberFormat="1" applyBorder="1" applyAlignment="1">
      <alignment horizontal="center"/>
    </xf>
    <xf numFmtId="188" fontId="15" fillId="0" borderId="0" xfId="0" applyFont="1" applyAlignment="1" applyProtection="1">
      <alignment horizontal="left"/>
      <protection/>
    </xf>
    <xf numFmtId="188" fontId="0" fillId="19" borderId="0" xfId="0" applyFont="1" applyFill="1" applyAlignment="1">
      <alignment/>
    </xf>
    <xf numFmtId="0" fontId="14" fillId="10" borderId="13" xfId="0" applyNumberFormat="1" applyFont="1" applyFill="1" applyBorder="1" applyAlignment="1" applyProtection="1">
      <alignment horizontal="left"/>
      <protection locked="0"/>
    </xf>
    <xf numFmtId="49" fontId="5" fillId="10" borderId="11" xfId="0" applyNumberFormat="1" applyFont="1" applyFill="1" applyBorder="1" applyAlignment="1">
      <alignment/>
    </xf>
    <xf numFmtId="0" fontId="6" fillId="10" borderId="16" xfId="0" applyNumberFormat="1" applyFont="1" applyFill="1" applyBorder="1" applyAlignment="1" applyProtection="1">
      <alignment/>
      <protection locked="0"/>
    </xf>
    <xf numFmtId="3" fontId="6" fillId="10" borderId="11" xfId="0" applyNumberFormat="1" applyFont="1" applyFill="1" applyBorder="1" applyAlignment="1" applyProtection="1">
      <alignment/>
      <protection locked="0"/>
    </xf>
    <xf numFmtId="188" fontId="5" fillId="10" borderId="11" xfId="0" applyFont="1" applyFill="1" applyBorder="1" applyAlignment="1">
      <alignment/>
    </xf>
    <xf numFmtId="0" fontId="6" fillId="10" borderId="16" xfId="0" applyNumberFormat="1" applyFont="1" applyFill="1" applyBorder="1" applyAlignment="1" applyProtection="1">
      <alignment/>
      <protection locked="0"/>
    </xf>
    <xf numFmtId="3" fontId="6" fillId="10" borderId="11" xfId="0" applyNumberFormat="1" applyFont="1" applyFill="1" applyBorder="1" applyAlignment="1" applyProtection="1">
      <alignment/>
      <protection locked="0"/>
    </xf>
    <xf numFmtId="188" fontId="4" fillId="10" borderId="0" xfId="0" applyFont="1" applyFill="1" applyAlignment="1">
      <alignment/>
    </xf>
    <xf numFmtId="188" fontId="14" fillId="10" borderId="0" xfId="0" applyFont="1" applyFill="1" applyBorder="1" applyAlignment="1" applyProtection="1">
      <alignment/>
      <protection locked="0"/>
    </xf>
    <xf numFmtId="3" fontId="6" fillId="10" borderId="0" xfId="0" applyNumberFormat="1" applyFont="1" applyFill="1" applyBorder="1" applyAlignment="1" applyProtection="1">
      <alignment/>
      <protection/>
    </xf>
    <xf numFmtId="0" fontId="6" fillId="10" borderId="0" xfId="0" applyNumberFormat="1" applyFont="1" applyFill="1" applyBorder="1" applyAlignment="1" applyProtection="1">
      <alignment/>
      <protection/>
    </xf>
    <xf numFmtId="3" fontId="5" fillId="10" borderId="0" xfId="0" applyNumberFormat="1" applyFont="1" applyFill="1" applyAlignment="1" applyProtection="1">
      <alignment horizontal="right"/>
      <protection/>
    </xf>
    <xf numFmtId="188" fontId="0" fillId="0" borderId="0" xfId="0" applyAlignment="1" applyProtection="1">
      <alignment/>
      <protection/>
    </xf>
    <xf numFmtId="188" fontId="0" fillId="0" borderId="0" xfId="0" applyAlignment="1" applyProtection="1">
      <alignment horizontal="right"/>
      <protection/>
    </xf>
    <xf numFmtId="188" fontId="0" fillId="0" borderId="0" xfId="0" applyAlignment="1" applyProtection="1" quotePrefix="1">
      <alignment/>
      <protection/>
    </xf>
    <xf numFmtId="188" fontId="0" fillId="0" borderId="0" xfId="0" applyAlignment="1" applyProtection="1">
      <alignment horizontal="right"/>
      <protection locked="0"/>
    </xf>
    <xf numFmtId="188" fontId="0" fillId="0" borderId="0" xfId="0" applyAlignment="1" applyProtection="1">
      <alignment horizontal="left"/>
      <protection locked="0"/>
    </xf>
    <xf numFmtId="200" fontId="0" fillId="0" borderId="25" xfId="0" applyNumberFormat="1" applyBorder="1" applyAlignment="1">
      <alignment/>
    </xf>
    <xf numFmtId="200" fontId="0" fillId="0" borderId="28" xfId="0" applyNumberFormat="1" applyBorder="1" applyAlignment="1">
      <alignment/>
    </xf>
    <xf numFmtId="188" fontId="0" fillId="10" borderId="0" xfId="0" applyFont="1" applyFill="1" applyAlignment="1">
      <alignment/>
    </xf>
    <xf numFmtId="188" fontId="8" fillId="10" borderId="0" xfId="0" applyFont="1" applyFill="1" applyBorder="1" applyAlignment="1" applyProtection="1">
      <alignment/>
      <protection/>
    </xf>
    <xf numFmtId="3" fontId="22" fillId="0" borderId="0" xfId="0" applyNumberFormat="1" applyFont="1" applyAlignment="1" applyProtection="1">
      <alignment horizontal="center"/>
      <protection/>
    </xf>
    <xf numFmtId="0" fontId="22" fillId="0" borderId="0" xfId="0" applyNumberFormat="1" applyFont="1" applyAlignment="1" applyProtection="1">
      <alignment horizontal="center"/>
      <protection/>
    </xf>
    <xf numFmtId="3" fontId="22" fillId="0" borderId="0" xfId="0" applyNumberFormat="1" applyFont="1" applyAlignment="1" applyProtection="1">
      <alignment horizontal="right"/>
      <protection/>
    </xf>
    <xf numFmtId="188" fontId="23" fillId="0" borderId="0" xfId="0" applyFont="1" applyAlignment="1" applyProtection="1">
      <alignment horizontal="left"/>
      <protection/>
    </xf>
    <xf numFmtId="3" fontId="5" fillId="0" borderId="15" xfId="0" applyNumberFormat="1" applyFont="1" applyBorder="1" applyAlignment="1">
      <alignment/>
    </xf>
    <xf numFmtId="188" fontId="13" fillId="18" borderId="0" xfId="0" applyFont="1" applyFill="1" applyAlignment="1" applyProtection="1">
      <alignment/>
      <protection locked="0"/>
    </xf>
    <xf numFmtId="188" fontId="5" fillId="18" borderId="0" xfId="0" applyFont="1" applyFill="1" applyAlignment="1">
      <alignment/>
    </xf>
    <xf numFmtId="3" fontId="5" fillId="18" borderId="15" xfId="0" applyNumberFormat="1" applyFont="1" applyFill="1" applyBorder="1" applyAlignment="1">
      <alignment/>
    </xf>
    <xf numFmtId="188" fontId="9" fillId="0" borderId="0" xfId="0" applyFont="1" applyBorder="1" applyAlignment="1" applyProtection="1">
      <alignment/>
      <protection/>
    </xf>
    <xf numFmtId="188" fontId="25" fillId="0" borderId="0" xfId="0" applyFont="1" applyAlignment="1" applyProtection="1">
      <alignment/>
      <protection/>
    </xf>
    <xf numFmtId="193" fontId="10" fillId="0" borderId="0" xfId="0" applyNumberFormat="1" applyFont="1" applyBorder="1" applyAlignment="1" applyProtection="1">
      <alignment/>
      <protection/>
    </xf>
    <xf numFmtId="188" fontId="10" fillId="0" borderId="0" xfId="0" applyFont="1" applyBorder="1" applyAlignment="1" applyProtection="1">
      <alignment/>
      <protection/>
    </xf>
    <xf numFmtId="14" fontId="10" fillId="0" borderId="0" xfId="0" applyNumberFormat="1" applyFont="1" applyBorder="1" applyAlignment="1" applyProtection="1">
      <alignment horizontal="left"/>
      <protection/>
    </xf>
    <xf numFmtId="1" fontId="10" fillId="0" borderId="0" xfId="0" applyNumberFormat="1" applyFont="1" applyBorder="1" applyAlignment="1" applyProtection="1">
      <alignment/>
      <protection/>
    </xf>
    <xf numFmtId="49" fontId="10" fillId="0" borderId="0" xfId="0" applyNumberFormat="1" applyFont="1" applyBorder="1" applyAlignment="1" applyProtection="1">
      <alignment/>
      <protection/>
    </xf>
    <xf numFmtId="193" fontId="10" fillId="0" borderId="15" xfId="0" applyNumberFormat="1" applyFont="1" applyBorder="1" applyAlignment="1" applyProtection="1">
      <alignment/>
      <protection/>
    </xf>
    <xf numFmtId="188" fontId="9" fillId="0" borderId="0" xfId="0" applyFont="1" applyBorder="1" applyAlignment="1" applyProtection="1">
      <alignment/>
      <protection/>
    </xf>
    <xf numFmtId="193" fontId="10" fillId="0" borderId="0" xfId="0" applyNumberFormat="1" applyFont="1" applyBorder="1" applyAlignment="1" applyProtection="1" quotePrefix="1">
      <alignment horizontal="right"/>
      <protection/>
    </xf>
    <xf numFmtId="188" fontId="25" fillId="0" borderId="0" xfId="0" applyFont="1" applyBorder="1" applyAlignment="1" applyProtection="1">
      <alignment/>
      <protection/>
    </xf>
    <xf numFmtId="193" fontId="10" fillId="0" borderId="0" xfId="0" applyNumberFormat="1" applyFont="1" applyAlignment="1" applyProtection="1">
      <alignment/>
      <protection/>
    </xf>
    <xf numFmtId="193" fontId="10" fillId="0" borderId="29" xfId="0" applyNumberFormat="1" applyFont="1" applyBorder="1" applyAlignment="1" applyProtection="1">
      <alignment/>
      <protection/>
    </xf>
    <xf numFmtId="200" fontId="10" fillId="0" borderId="0" xfId="0" applyNumberFormat="1" applyFont="1" applyBorder="1" applyAlignment="1" applyProtection="1" quotePrefix="1">
      <alignment horizontal="center"/>
      <protection/>
    </xf>
    <xf numFmtId="193" fontId="10" fillId="0" borderId="30" xfId="0" applyNumberFormat="1" applyFont="1" applyBorder="1" applyAlignment="1" applyProtection="1">
      <alignment/>
      <protection/>
    </xf>
    <xf numFmtId="193" fontId="4" fillId="0" borderId="15" xfId="0" applyNumberFormat="1" applyFont="1" applyBorder="1" applyAlignment="1" applyProtection="1">
      <alignment/>
      <protection/>
    </xf>
    <xf numFmtId="193" fontId="4" fillId="0" borderId="0" xfId="0" applyNumberFormat="1" applyFont="1" applyBorder="1" applyAlignment="1" applyProtection="1" quotePrefix="1">
      <alignment horizontal="right"/>
      <protection/>
    </xf>
    <xf numFmtId="200" fontId="4" fillId="0" borderId="0" xfId="0" applyNumberFormat="1" applyFont="1" applyBorder="1" applyAlignment="1" applyProtection="1" quotePrefix="1">
      <alignment horizontal="center"/>
      <protection/>
    </xf>
    <xf numFmtId="193" fontId="4" fillId="0" borderId="30" xfId="0" applyNumberFormat="1" applyFont="1" applyBorder="1" applyAlignment="1" applyProtection="1">
      <alignment/>
      <protection/>
    </xf>
    <xf numFmtId="3" fontId="5" fillId="0" borderId="31" xfId="0" applyNumberFormat="1" applyFont="1" applyBorder="1" applyAlignment="1" applyProtection="1">
      <alignment/>
      <protection/>
    </xf>
    <xf numFmtId="188" fontId="4" fillId="19" borderId="0" xfId="0" applyFont="1" applyFill="1" applyAlignment="1">
      <alignment/>
    </xf>
    <xf numFmtId="188" fontId="5" fillId="19" borderId="0" xfId="0" applyFont="1" applyFill="1" applyAlignment="1">
      <alignment/>
    </xf>
    <xf numFmtId="193" fontId="26" fillId="0" borderId="0" xfId="0" applyNumberFormat="1" applyFont="1" applyBorder="1" applyAlignment="1" applyProtection="1">
      <alignment horizontal="center"/>
      <protection/>
    </xf>
    <xf numFmtId="3" fontId="5" fillId="0" borderId="32" xfId="0" applyNumberFormat="1" applyFont="1" applyBorder="1" applyAlignment="1" applyProtection="1">
      <alignment/>
      <protection/>
    </xf>
    <xf numFmtId="188" fontId="20" fillId="0" borderId="0" xfId="0" applyFont="1" applyAlignment="1" applyProtection="1">
      <alignment/>
      <protection/>
    </xf>
    <xf numFmtId="3" fontId="6" fillId="0" borderId="11" xfId="0" applyNumberFormat="1" applyFont="1" applyBorder="1" applyAlignment="1" applyProtection="1">
      <alignment/>
      <protection locked="0"/>
    </xf>
    <xf numFmtId="199" fontId="16" fillId="0" borderId="0" xfId="0" applyNumberFormat="1" applyFont="1" applyBorder="1" applyAlignment="1" applyProtection="1">
      <alignment horizontal="left"/>
      <protection locked="0"/>
    </xf>
    <xf numFmtId="188" fontId="10" fillId="10" borderId="0" xfId="0" applyFont="1" applyFill="1" applyBorder="1" applyAlignment="1" applyProtection="1">
      <alignment horizontal="right"/>
      <protection/>
    </xf>
    <xf numFmtId="188" fontId="10" fillId="0" borderId="0" xfId="0" applyFont="1" applyBorder="1" applyAlignment="1" applyProtection="1">
      <alignment horizontal="center"/>
      <protection/>
    </xf>
    <xf numFmtId="3" fontId="5" fillId="0" borderId="33" xfId="0" applyNumberFormat="1" applyFont="1" applyBorder="1" applyAlignment="1" applyProtection="1">
      <alignment/>
      <protection/>
    </xf>
    <xf numFmtId="3" fontId="5" fillId="0" borderId="34" xfId="0" applyNumberFormat="1" applyFont="1" applyBorder="1" applyAlignment="1" applyProtection="1">
      <alignment/>
      <protection/>
    </xf>
    <xf numFmtId="4" fontId="6" fillId="0" borderId="11" xfId="0" applyNumberFormat="1" applyFont="1" applyBorder="1" applyAlignment="1" applyProtection="1">
      <alignment/>
      <protection locked="0"/>
    </xf>
    <xf numFmtId="188" fontId="31" fillId="19" borderId="0" xfId="0" applyFont="1" applyFill="1" applyAlignment="1" applyProtection="1">
      <alignment/>
      <protection hidden="1"/>
    </xf>
    <xf numFmtId="199" fontId="16" fillId="0" borderId="0" xfId="0" applyNumberFormat="1" applyFont="1" applyAlignment="1" applyProtection="1">
      <alignment horizontal="right"/>
      <protection locked="0"/>
    </xf>
    <xf numFmtId="0" fontId="6" fillId="0" borderId="13" xfId="0" applyNumberFormat="1" applyFont="1" applyBorder="1" applyAlignment="1" applyProtection="1">
      <alignment horizontal="left"/>
      <protection locked="0"/>
    </xf>
    <xf numFmtId="188" fontId="32" fillId="0" borderId="0" xfId="0" applyFont="1" applyAlignment="1" applyProtection="1">
      <alignment/>
      <protection/>
    </xf>
    <xf numFmtId="188" fontId="20" fillId="19" borderId="0" xfId="0" applyFont="1" applyFill="1" applyAlignment="1">
      <alignment/>
    </xf>
    <xf numFmtId="0" fontId="5" fillId="0" borderId="0" xfId="0" applyNumberFormat="1" applyFont="1" applyBorder="1" applyAlignment="1" applyProtection="1">
      <alignment/>
      <protection/>
    </xf>
    <xf numFmtId="3" fontId="5" fillId="0" borderId="35" xfId="0" applyNumberFormat="1" applyFont="1" applyBorder="1" applyAlignment="1" applyProtection="1">
      <alignment horizontal="right"/>
      <protection/>
    </xf>
    <xf numFmtId="49" fontId="5" fillId="0" borderId="36" xfId="0" applyNumberFormat="1" applyFont="1" applyFill="1" applyBorder="1" applyAlignment="1">
      <alignment/>
    </xf>
    <xf numFmtId="0" fontId="14" fillId="0" borderId="37" xfId="0" applyNumberFormat="1" applyFont="1" applyBorder="1" applyAlignment="1" applyProtection="1">
      <alignment horizontal="left"/>
      <protection locked="0"/>
    </xf>
    <xf numFmtId="0" fontId="6" fillId="0" borderId="37" xfId="0" applyNumberFormat="1" applyFont="1" applyBorder="1" applyAlignment="1" applyProtection="1">
      <alignment/>
      <protection locked="0"/>
    </xf>
    <xf numFmtId="3" fontId="6" fillId="0" borderId="38" xfId="0" applyNumberFormat="1" applyFont="1" applyBorder="1" applyAlignment="1" applyProtection="1">
      <alignment/>
      <protection locked="0"/>
    </xf>
    <xf numFmtId="188" fontId="18" fillId="0" borderId="0" xfId="0" applyFont="1" applyAlignment="1">
      <alignment horizontal="right"/>
    </xf>
    <xf numFmtId="199" fontId="4" fillId="0" borderId="0" xfId="0" applyNumberFormat="1" applyFont="1" applyAlignment="1">
      <alignment horizontal="left"/>
    </xf>
    <xf numFmtId="205" fontId="5" fillId="0" borderId="15" xfId="0" applyNumberFormat="1" applyFont="1" applyFill="1" applyBorder="1" applyAlignment="1" applyProtection="1">
      <alignment horizontal="left"/>
      <protection/>
    </xf>
    <xf numFmtId="205" fontId="0" fillId="19" borderId="0" xfId="0" applyNumberFormat="1" applyFont="1" applyFill="1" applyAlignment="1">
      <alignment/>
    </xf>
    <xf numFmtId="205" fontId="4" fillId="0" borderId="0" xfId="0" applyNumberFormat="1" applyFont="1" applyAlignment="1">
      <alignment horizontal="left"/>
    </xf>
    <xf numFmtId="205" fontId="4" fillId="0" borderId="0" xfId="0" applyNumberFormat="1" applyFont="1" applyAlignment="1">
      <alignment horizontal="left"/>
    </xf>
    <xf numFmtId="205" fontId="9" fillId="0" borderId="0" xfId="0" applyNumberFormat="1" applyFont="1" applyAlignment="1" applyProtection="1">
      <alignment horizontal="left"/>
      <protection/>
    </xf>
    <xf numFmtId="205" fontId="17" fillId="0" borderId="0" xfId="0" applyNumberFormat="1" applyFont="1" applyBorder="1" applyAlignment="1">
      <alignment horizontal="left"/>
    </xf>
    <xf numFmtId="205" fontId="17" fillId="10" borderId="0" xfId="0" applyNumberFormat="1" applyFont="1" applyFill="1" applyAlignment="1">
      <alignment horizontal="left"/>
    </xf>
    <xf numFmtId="205" fontId="17" fillId="0" borderId="0" xfId="0" applyNumberFormat="1" applyFont="1" applyAlignment="1">
      <alignment horizontal="left"/>
    </xf>
    <xf numFmtId="205" fontId="5" fillId="0" borderId="0" xfId="0" applyNumberFormat="1" applyFont="1" applyAlignment="1">
      <alignment horizontal="left"/>
    </xf>
    <xf numFmtId="205" fontId="17" fillId="0" borderId="0" xfId="0" applyNumberFormat="1" applyFont="1" applyAlignment="1" applyProtection="1">
      <alignment horizontal="left"/>
      <protection/>
    </xf>
    <xf numFmtId="205" fontId="13" fillId="0" borderId="0" xfId="0" applyNumberFormat="1" applyFont="1" applyAlignment="1" applyProtection="1">
      <alignment/>
      <protection locked="0"/>
    </xf>
    <xf numFmtId="188" fontId="0" fillId="0" borderId="0" xfId="0" applyFont="1" applyAlignment="1" applyProtection="1">
      <alignment/>
      <protection/>
    </xf>
    <xf numFmtId="188" fontId="16" fillId="0" borderId="0" xfId="0" applyFont="1" applyBorder="1" applyAlignment="1" applyProtection="1">
      <alignment horizontal="left"/>
      <protection/>
    </xf>
    <xf numFmtId="188" fontId="1" fillId="0" borderId="0" xfId="0" applyFont="1" applyAlignment="1" applyProtection="1">
      <alignment/>
      <protection/>
    </xf>
    <xf numFmtId="188" fontId="16" fillId="0" borderId="0" xfId="0" applyFont="1" applyAlignment="1" applyProtection="1">
      <alignment/>
      <protection/>
    </xf>
    <xf numFmtId="188" fontId="16" fillId="0" borderId="0" xfId="0" applyFont="1" applyAlignment="1" applyProtection="1">
      <alignment horizontal="right"/>
      <protection/>
    </xf>
    <xf numFmtId="188" fontId="16" fillId="0" borderId="0" xfId="0" applyFont="1" applyBorder="1" applyAlignment="1" applyProtection="1">
      <alignment horizontal="left"/>
      <protection locked="0"/>
    </xf>
    <xf numFmtId="37" fontId="4" fillId="0" borderId="0" xfId="0" applyNumberFormat="1" applyFont="1" applyAlignment="1" applyProtection="1">
      <alignment horizontal="left"/>
      <protection/>
    </xf>
    <xf numFmtId="204" fontId="4" fillId="0" borderId="0" xfId="0" applyNumberFormat="1" applyFont="1" applyFill="1" applyAlignment="1" applyProtection="1">
      <alignment horizontal="left"/>
      <protection/>
    </xf>
    <xf numFmtId="204" fontId="4" fillId="0" borderId="0" xfId="0" applyNumberFormat="1" applyFont="1" applyFill="1" applyAlignment="1" applyProtection="1">
      <alignment horizontal="center"/>
      <protection/>
    </xf>
    <xf numFmtId="2" fontId="24" fillId="10" borderId="0" xfId="0" applyNumberFormat="1" applyFont="1" applyFill="1" applyAlignment="1" applyProtection="1">
      <alignment/>
      <protection locked="0"/>
    </xf>
    <xf numFmtId="188" fontId="0" fillId="10" borderId="0" xfId="0" applyFill="1" applyAlignment="1">
      <alignment horizontal="right"/>
    </xf>
    <xf numFmtId="1" fontId="5" fillId="0" borderId="15" xfId="0" applyNumberFormat="1" applyFont="1" applyFill="1" applyBorder="1" applyAlignment="1" applyProtection="1">
      <alignment horizontal="left"/>
      <protection locked="0"/>
    </xf>
    <xf numFmtId="188" fontId="33" fillId="19" borderId="0" xfId="0" applyFont="1" applyFill="1" applyAlignment="1" applyProtection="1">
      <alignment/>
      <protection locked="0"/>
    </xf>
    <xf numFmtId="188" fontId="4" fillId="0" borderId="0" xfId="0" applyFont="1" applyAlignment="1">
      <alignment horizontal="left"/>
    </xf>
    <xf numFmtId="188" fontId="4" fillId="0" borderId="0" xfId="0" applyFont="1" applyAlignment="1">
      <alignment horizontal="left"/>
    </xf>
    <xf numFmtId="188" fontId="4" fillId="0" borderId="0" xfId="0" applyFont="1" applyAlignment="1">
      <alignment horizontal="right"/>
    </xf>
    <xf numFmtId="193" fontId="4" fillId="0" borderId="0" xfId="0" applyNumberFormat="1" applyFont="1" applyBorder="1" applyAlignment="1" applyProtection="1">
      <alignment horizontal="center"/>
      <protection/>
    </xf>
    <xf numFmtId="188" fontId="4" fillId="19" borderId="0" xfId="0" applyFont="1" applyFill="1" applyAlignment="1">
      <alignment/>
    </xf>
    <xf numFmtId="202" fontId="4" fillId="0" borderId="0" xfId="0" applyNumberFormat="1" applyFont="1" applyBorder="1" applyAlignment="1" applyProtection="1">
      <alignment horizontal="left"/>
      <protection/>
    </xf>
    <xf numFmtId="193" fontId="1" fillId="0" borderId="0" xfId="0" applyNumberFormat="1" applyFont="1" applyBorder="1" applyAlignment="1" applyProtection="1" quotePrefix="1">
      <alignment horizontal="right"/>
      <protection/>
    </xf>
    <xf numFmtId="193" fontId="1" fillId="0" borderId="0" xfId="0" applyNumberFormat="1" applyFont="1" applyBorder="1" applyAlignment="1" applyProtection="1">
      <alignment/>
      <protection/>
    </xf>
    <xf numFmtId="193" fontId="1" fillId="0" borderId="30" xfId="0" applyNumberFormat="1" applyFont="1" applyBorder="1" applyAlignment="1" applyProtection="1">
      <alignment/>
      <protection/>
    </xf>
    <xf numFmtId="188" fontId="4" fillId="19" borderId="0" xfId="0" applyFont="1" applyFill="1" applyAlignment="1">
      <alignment horizontal="center"/>
    </xf>
    <xf numFmtId="188" fontId="0" fillId="19" borderId="0" xfId="0" applyFont="1" applyFill="1" applyBorder="1" applyAlignment="1">
      <alignment/>
    </xf>
    <xf numFmtId="3" fontId="5" fillId="0" borderId="0" xfId="0" applyNumberFormat="1" applyFont="1" applyBorder="1" applyAlignment="1" applyProtection="1">
      <alignment horizontal="center"/>
      <protection/>
    </xf>
    <xf numFmtId="3" fontId="5" fillId="0" borderId="39" xfId="0" applyNumberFormat="1" applyFont="1" applyBorder="1" applyAlignment="1" applyProtection="1">
      <alignment/>
      <protection/>
    </xf>
    <xf numFmtId="3" fontId="22" fillId="0" borderId="0" xfId="0" applyNumberFormat="1" applyFont="1" applyBorder="1" applyAlignment="1" applyProtection="1">
      <alignment horizontal="center"/>
      <protection/>
    </xf>
    <xf numFmtId="3" fontId="5" fillId="10" borderId="39" xfId="0" applyNumberFormat="1" applyFont="1" applyFill="1" applyBorder="1" applyAlignment="1" applyProtection="1">
      <alignment/>
      <protection/>
    </xf>
    <xf numFmtId="3" fontId="5" fillId="10" borderId="0" xfId="0" applyNumberFormat="1" applyFont="1" applyFill="1" applyBorder="1" applyAlignment="1" applyProtection="1">
      <alignment/>
      <protection/>
    </xf>
    <xf numFmtId="4" fontId="0" fillId="19" borderId="0" xfId="0" applyNumberFormat="1" applyFont="1" applyFill="1" applyAlignment="1">
      <alignment/>
    </xf>
    <xf numFmtId="4" fontId="5" fillId="0" borderId="0" xfId="0" applyNumberFormat="1" applyFont="1" applyAlignment="1" applyProtection="1">
      <alignment horizontal="center"/>
      <protection/>
    </xf>
    <xf numFmtId="4" fontId="5" fillId="0" borderId="21" xfId="0" applyNumberFormat="1" applyFont="1" applyBorder="1" applyAlignment="1" applyProtection="1">
      <alignment/>
      <protection/>
    </xf>
    <xf numFmtId="4" fontId="5" fillId="0" borderId="22" xfId="0" applyNumberFormat="1" applyFont="1" applyBorder="1" applyAlignment="1" applyProtection="1">
      <alignment/>
      <protection/>
    </xf>
    <xf numFmtId="4" fontId="5" fillId="0" borderId="34" xfId="0" applyNumberFormat="1" applyFont="1" applyBorder="1" applyAlignment="1" applyProtection="1">
      <alignment/>
      <protection/>
    </xf>
    <xf numFmtId="4" fontId="5" fillId="0" borderId="33" xfId="0" applyNumberFormat="1" applyFont="1" applyBorder="1" applyAlignment="1" applyProtection="1">
      <alignment/>
      <protection/>
    </xf>
    <xf numFmtId="4" fontId="4" fillId="0" borderId="0" xfId="0" applyNumberFormat="1" applyFont="1" applyAlignment="1">
      <alignment/>
    </xf>
    <xf numFmtId="4" fontId="22" fillId="0" borderId="0" xfId="0" applyNumberFormat="1" applyFont="1" applyAlignment="1" applyProtection="1">
      <alignment horizontal="center"/>
      <protection/>
    </xf>
    <xf numFmtId="4" fontId="5" fillId="10" borderId="22" xfId="0" applyNumberFormat="1" applyFont="1" applyFill="1" applyBorder="1" applyAlignment="1" applyProtection="1">
      <alignment/>
      <protection/>
    </xf>
    <xf numFmtId="4" fontId="5" fillId="0" borderId="40" xfId="0" applyNumberFormat="1" applyFont="1" applyBorder="1" applyAlignment="1" applyProtection="1">
      <alignment/>
      <protection/>
    </xf>
    <xf numFmtId="4" fontId="5" fillId="0" borderId="0" xfId="0" applyNumberFormat="1" applyFont="1" applyBorder="1" applyAlignment="1" applyProtection="1">
      <alignment/>
      <protection/>
    </xf>
    <xf numFmtId="4" fontId="5" fillId="0" borderId="41" xfId="0" applyNumberFormat="1" applyFont="1" applyBorder="1" applyAlignment="1" applyProtection="1">
      <alignment/>
      <protection/>
    </xf>
    <xf numFmtId="4" fontId="5" fillId="0" borderId="31" xfId="0" applyNumberFormat="1" applyFont="1" applyBorder="1" applyAlignment="1" applyProtection="1">
      <alignment/>
      <protection/>
    </xf>
    <xf numFmtId="4" fontId="5" fillId="0" borderId="0" xfId="0" applyNumberFormat="1" applyFont="1" applyAlignment="1" applyProtection="1">
      <alignment/>
      <protection/>
    </xf>
    <xf numFmtId="4" fontId="5" fillId="0" borderId="42" xfId="0" applyNumberFormat="1" applyFont="1" applyBorder="1" applyAlignment="1" applyProtection="1">
      <alignment/>
      <protection/>
    </xf>
    <xf numFmtId="199" fontId="5" fillId="0" borderId="0" xfId="0" applyNumberFormat="1" applyFont="1" applyAlignment="1" applyProtection="1">
      <alignment horizontal="center"/>
      <protection/>
    </xf>
    <xf numFmtId="199" fontId="5" fillId="0" borderId="0" xfId="0" applyNumberFormat="1" applyFont="1" applyBorder="1" applyAlignment="1" applyProtection="1">
      <alignment/>
      <protection/>
    </xf>
    <xf numFmtId="4" fontId="1" fillId="0" borderId="0" xfId="0" applyNumberFormat="1" applyFont="1" applyAlignment="1" applyProtection="1">
      <alignment horizontal="center"/>
      <protection/>
    </xf>
    <xf numFmtId="3" fontId="1" fillId="0" borderId="0" xfId="0" applyNumberFormat="1" applyFont="1" applyBorder="1" applyAlignment="1" applyProtection="1">
      <alignment horizontal="center"/>
      <protection/>
    </xf>
    <xf numFmtId="4" fontId="1" fillId="0" borderId="0" xfId="0" applyNumberFormat="1" applyFont="1" applyAlignment="1" applyProtection="1">
      <alignment horizontal="center" vertical="top"/>
      <protection/>
    </xf>
    <xf numFmtId="3" fontId="1" fillId="0" borderId="0" xfId="0" applyNumberFormat="1" applyFont="1" applyBorder="1" applyAlignment="1" applyProtection="1">
      <alignment horizontal="center" vertical="top"/>
      <protection/>
    </xf>
    <xf numFmtId="4" fontId="5" fillId="0" borderId="0" xfId="0" applyNumberFormat="1" applyFont="1" applyAlignment="1" applyProtection="1">
      <alignment horizontal="center"/>
      <protection/>
    </xf>
    <xf numFmtId="3" fontId="22" fillId="10" borderId="0" xfId="0" applyNumberFormat="1" applyFont="1" applyFill="1" applyBorder="1" applyAlignment="1" applyProtection="1">
      <alignment/>
      <protection/>
    </xf>
    <xf numFmtId="188" fontId="17" fillId="10" borderId="0" xfId="0" applyFont="1" applyFill="1" applyAlignment="1">
      <alignment/>
    </xf>
    <xf numFmtId="3" fontId="5" fillId="0" borderId="0" xfId="0" applyNumberFormat="1" applyFont="1" applyBorder="1" applyAlignment="1">
      <alignment/>
    </xf>
    <xf numFmtId="199" fontId="34" fillId="0" borderId="0" xfId="0" applyNumberFormat="1" applyFont="1" applyAlignment="1" applyProtection="1">
      <alignment horizontal="center"/>
      <protection/>
    </xf>
    <xf numFmtId="199" fontId="34" fillId="0" borderId="0" xfId="0" applyNumberFormat="1" applyFont="1" applyBorder="1" applyAlignment="1" applyProtection="1">
      <alignment/>
      <protection/>
    </xf>
    <xf numFmtId="4" fontId="34" fillId="0" borderId="0" xfId="0" applyNumberFormat="1" applyFont="1" applyAlignment="1" applyProtection="1">
      <alignment horizontal="center"/>
      <protection/>
    </xf>
    <xf numFmtId="4" fontId="34" fillId="0" borderId="0" xfId="0" applyNumberFormat="1" applyFont="1" applyAlignment="1" applyProtection="1">
      <alignment horizontal="center" vertical="top"/>
      <protection/>
    </xf>
    <xf numFmtId="188" fontId="5" fillId="0" borderId="0" xfId="0" applyFont="1" applyAlignment="1">
      <alignment horizontal="center"/>
    </xf>
    <xf numFmtId="188" fontId="1" fillId="0" borderId="0" xfId="0" applyFont="1" applyBorder="1" applyAlignment="1" applyProtection="1">
      <alignment/>
      <protection/>
    </xf>
    <xf numFmtId="188" fontId="4" fillId="0" borderId="0" xfId="0" applyFont="1" applyAlignment="1" applyProtection="1">
      <alignment horizontal="center"/>
      <protection/>
    </xf>
    <xf numFmtId="188" fontId="4" fillId="10" borderId="0" xfId="0" applyFont="1" applyFill="1" applyBorder="1" applyAlignment="1" applyProtection="1">
      <alignment/>
      <protection/>
    </xf>
    <xf numFmtId="188" fontId="4" fillId="0" borderId="0" xfId="0" applyFont="1" applyBorder="1" applyAlignment="1" applyProtection="1">
      <alignment horizontal="center"/>
      <protection/>
    </xf>
    <xf numFmtId="1" fontId="4" fillId="0" borderId="0" xfId="0" applyNumberFormat="1" applyFont="1" applyBorder="1" applyAlignment="1" applyProtection="1">
      <alignment/>
      <protection/>
    </xf>
    <xf numFmtId="14" fontId="4" fillId="0" borderId="0" xfId="0" applyNumberFormat="1" applyFont="1" applyBorder="1" applyAlignment="1" applyProtection="1">
      <alignment horizontal="left"/>
      <protection/>
    </xf>
    <xf numFmtId="14" fontId="4" fillId="0" borderId="0"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193" fontId="4" fillId="0" borderId="43" xfId="0" applyNumberFormat="1" applyFont="1" applyBorder="1" applyAlignment="1" applyProtection="1">
      <alignment/>
      <protection/>
    </xf>
    <xf numFmtId="193" fontId="4" fillId="0" borderId="0" xfId="0" applyNumberFormat="1" applyFont="1" applyBorder="1" applyAlignment="1" applyProtection="1" quotePrefix="1">
      <alignment horizontal="center"/>
      <protection/>
    </xf>
    <xf numFmtId="193" fontId="4" fillId="0" borderId="15" xfId="0" applyNumberFormat="1" applyFont="1" applyBorder="1" applyAlignment="1" applyProtection="1">
      <alignment/>
      <protection locked="0"/>
    </xf>
    <xf numFmtId="188" fontId="4" fillId="0" borderId="0" xfId="0" applyFont="1" applyBorder="1" applyAlignment="1" applyProtection="1" quotePrefix="1">
      <alignment horizontal="center"/>
      <protection/>
    </xf>
    <xf numFmtId="193" fontId="2" fillId="0" borderId="15" xfId="0" applyNumberFormat="1" applyFont="1" applyBorder="1" applyAlignment="1" applyProtection="1">
      <alignment/>
      <protection/>
    </xf>
    <xf numFmtId="193" fontId="4" fillId="0" borderId="44" xfId="0" applyNumberFormat="1" applyFont="1" applyBorder="1" applyAlignment="1" applyProtection="1">
      <alignment/>
      <protection/>
    </xf>
    <xf numFmtId="193" fontId="4" fillId="0" borderId="45" xfId="0" applyNumberFormat="1" applyFont="1" applyBorder="1" applyAlignment="1" applyProtection="1">
      <alignment/>
      <protection/>
    </xf>
    <xf numFmtId="193" fontId="4" fillId="0" borderId="45" xfId="0" applyNumberFormat="1" applyFont="1" applyBorder="1" applyAlignment="1" applyProtection="1">
      <alignment/>
      <protection locked="0"/>
    </xf>
    <xf numFmtId="193" fontId="4" fillId="0" borderId="46" xfId="0" applyNumberFormat="1" applyFont="1" applyBorder="1" applyAlignment="1" applyProtection="1">
      <alignment/>
      <protection/>
    </xf>
    <xf numFmtId="193" fontId="2" fillId="0" borderId="45" xfId="0" applyNumberFormat="1" applyFont="1" applyBorder="1" applyAlignment="1" applyProtection="1">
      <alignment/>
      <protection/>
    </xf>
    <xf numFmtId="193" fontId="1" fillId="0" borderId="47" xfId="0" applyNumberFormat="1" applyFont="1" applyBorder="1" applyAlignment="1" applyProtection="1" quotePrefix="1">
      <alignment horizontal="right"/>
      <protection/>
    </xf>
    <xf numFmtId="193" fontId="1" fillId="0" borderId="48" xfId="0" applyNumberFormat="1" applyFont="1" applyBorder="1" applyAlignment="1" applyProtection="1" quotePrefix="1">
      <alignment horizontal="right"/>
      <protection/>
    </xf>
    <xf numFmtId="193" fontId="1" fillId="0" borderId="49" xfId="0" applyNumberFormat="1" applyFont="1" applyBorder="1" applyAlignment="1" applyProtection="1" quotePrefix="1">
      <alignment horizontal="right"/>
      <protection/>
    </xf>
    <xf numFmtId="193" fontId="2" fillId="0" borderId="48" xfId="0" applyNumberFormat="1" applyFont="1" applyBorder="1" applyAlignment="1" applyProtection="1" quotePrefix="1">
      <alignment horizontal="right"/>
      <protection/>
    </xf>
    <xf numFmtId="193" fontId="4" fillId="0" borderId="50" xfId="0" applyNumberFormat="1" applyFont="1" applyBorder="1" applyAlignment="1" applyProtection="1">
      <alignment/>
      <protection/>
    </xf>
    <xf numFmtId="193" fontId="4" fillId="0" borderId="51" xfId="0" applyNumberFormat="1" applyFont="1" applyBorder="1" applyAlignment="1" applyProtection="1">
      <alignment/>
      <protection/>
    </xf>
    <xf numFmtId="193" fontId="4" fillId="0" borderId="51" xfId="0" applyNumberFormat="1" applyFont="1" applyBorder="1" applyAlignment="1" applyProtection="1">
      <alignment/>
      <protection locked="0"/>
    </xf>
    <xf numFmtId="193" fontId="2" fillId="0" borderId="51" xfId="0" applyNumberFormat="1" applyFont="1" applyBorder="1" applyAlignment="1" applyProtection="1">
      <alignment/>
      <protection/>
    </xf>
    <xf numFmtId="193" fontId="4" fillId="0" borderId="52" xfId="0" applyNumberFormat="1" applyFont="1" applyBorder="1" applyAlignment="1" applyProtection="1">
      <alignment/>
      <protection/>
    </xf>
    <xf numFmtId="193" fontId="4" fillId="0" borderId="53" xfId="0" applyNumberFormat="1" applyFont="1" applyBorder="1" applyAlignment="1" applyProtection="1">
      <alignment/>
      <protection/>
    </xf>
    <xf numFmtId="193" fontId="4" fillId="0" borderId="53" xfId="0" applyNumberFormat="1" applyFont="1" applyBorder="1" applyAlignment="1" applyProtection="1">
      <alignment/>
      <protection locked="0"/>
    </xf>
    <xf numFmtId="193" fontId="2" fillId="0" borderId="53" xfId="0" applyNumberFormat="1" applyFont="1" applyBorder="1" applyAlignment="1" applyProtection="1">
      <alignment/>
      <protection/>
    </xf>
    <xf numFmtId="193" fontId="1" fillId="0" borderId="43" xfId="0" applyNumberFormat="1" applyFont="1" applyBorder="1" applyAlignment="1" applyProtection="1" quotePrefix="1">
      <alignment horizontal="right"/>
      <protection/>
    </xf>
    <xf numFmtId="193" fontId="1" fillId="0" borderId="54" xfId="0" applyNumberFormat="1" applyFont="1" applyBorder="1" applyAlignment="1" applyProtection="1" quotePrefix="1">
      <alignment horizontal="right"/>
      <protection/>
    </xf>
    <xf numFmtId="193" fontId="2" fillId="0" borderId="54" xfId="0" applyNumberFormat="1" applyFont="1" applyBorder="1" applyAlignment="1" applyProtection="1" quotePrefix="1">
      <alignment horizontal="right"/>
      <protection/>
    </xf>
    <xf numFmtId="193" fontId="1" fillId="0" borderId="55" xfId="0" applyNumberFormat="1" applyFont="1" applyBorder="1" applyAlignment="1" applyProtection="1">
      <alignment/>
      <protection/>
    </xf>
    <xf numFmtId="193" fontId="1" fillId="0" borderId="0" xfId="0" applyNumberFormat="1" applyFont="1" applyBorder="1" applyAlignment="1" applyProtection="1">
      <alignment horizontal="center"/>
      <protection/>
    </xf>
    <xf numFmtId="188" fontId="1" fillId="0" borderId="0" xfId="0" applyFont="1" applyBorder="1" applyAlignment="1" applyProtection="1">
      <alignment horizontal="center"/>
      <protection/>
    </xf>
    <xf numFmtId="193" fontId="1" fillId="0" borderId="56" xfId="0" applyNumberFormat="1" applyFont="1" applyBorder="1" applyAlignment="1" applyProtection="1">
      <alignment/>
      <protection/>
    </xf>
    <xf numFmtId="193" fontId="2" fillId="0" borderId="30" xfId="0" applyNumberFormat="1" applyFont="1" applyBorder="1" applyAlignment="1" applyProtection="1">
      <alignment/>
      <protection/>
    </xf>
    <xf numFmtId="188" fontId="4" fillId="10" borderId="0" xfId="0" applyFont="1" applyFill="1" applyBorder="1" applyAlignment="1" applyProtection="1">
      <alignment horizontal="right"/>
      <protection/>
    </xf>
    <xf numFmtId="3" fontId="4" fillId="0" borderId="0" xfId="0" applyNumberFormat="1" applyFont="1" applyBorder="1" applyAlignment="1" applyProtection="1">
      <alignment horizontal="left"/>
      <protection/>
    </xf>
    <xf numFmtId="188" fontId="1" fillId="0" borderId="0" xfId="0" applyFont="1" applyBorder="1" applyAlignment="1" applyProtection="1">
      <alignment/>
      <protection/>
    </xf>
    <xf numFmtId="188" fontId="15" fillId="0" borderId="0" xfId="0" applyFont="1" applyBorder="1" applyAlignment="1" applyProtection="1">
      <alignment/>
      <protection/>
    </xf>
    <xf numFmtId="202" fontId="26" fillId="0" borderId="0" xfId="0" applyNumberFormat="1" applyFont="1" applyBorder="1" applyAlignment="1" applyProtection="1">
      <alignment horizontal="center"/>
      <protection/>
    </xf>
    <xf numFmtId="188" fontId="26" fillId="0" borderId="0" xfId="0" applyFont="1" applyAlignment="1" applyProtection="1">
      <alignment/>
      <protection/>
    </xf>
    <xf numFmtId="193" fontId="26" fillId="0" borderId="0" xfId="0" applyNumberFormat="1" applyFont="1" applyBorder="1" applyAlignment="1" applyProtection="1">
      <alignment/>
      <protection/>
    </xf>
    <xf numFmtId="188" fontId="26" fillId="0" borderId="0" xfId="0" applyFont="1" applyAlignment="1" applyProtection="1">
      <alignment horizontal="center"/>
      <protection/>
    </xf>
    <xf numFmtId="188" fontId="26" fillId="0" borderId="0" xfId="0" applyFont="1" applyBorder="1" applyAlignment="1" applyProtection="1">
      <alignment/>
      <protection/>
    </xf>
    <xf numFmtId="188" fontId="26" fillId="0" borderId="0" xfId="0" applyFont="1" applyBorder="1" applyAlignment="1" applyProtection="1">
      <alignment horizontal="center"/>
      <protection/>
    </xf>
    <xf numFmtId="206" fontId="26" fillId="0" borderId="0" xfId="0" applyNumberFormat="1" applyFont="1" applyBorder="1" applyAlignment="1" applyProtection="1">
      <alignment horizontal="center"/>
      <protection/>
    </xf>
    <xf numFmtId="188" fontId="14" fillId="0" borderId="0" xfId="0" applyFont="1" applyBorder="1" applyAlignment="1" applyProtection="1">
      <alignment horizontal="center"/>
      <protection locked="0"/>
    </xf>
    <xf numFmtId="188" fontId="35" fillId="19" borderId="0" xfId="0" applyFont="1" applyFill="1" applyAlignment="1">
      <alignment/>
    </xf>
    <xf numFmtId="4" fontId="24" fillId="19" borderId="0" xfId="0" applyNumberFormat="1" applyFont="1" applyFill="1" applyAlignment="1">
      <alignment/>
    </xf>
    <xf numFmtId="4" fontId="6" fillId="0" borderId="0" xfId="0" applyNumberFormat="1" applyFont="1" applyAlignment="1" applyProtection="1">
      <alignment horizontal="center"/>
      <protection/>
    </xf>
    <xf numFmtId="4" fontId="6" fillId="0" borderId="21" xfId="0" applyNumberFormat="1" applyFont="1" applyBorder="1" applyAlignment="1" applyProtection="1">
      <alignment/>
      <protection locked="0"/>
    </xf>
    <xf numFmtId="4" fontId="6" fillId="0" borderId="22" xfId="0" applyNumberFormat="1" applyFont="1" applyBorder="1" applyAlignment="1" applyProtection="1">
      <alignment/>
      <protection locked="0"/>
    </xf>
    <xf numFmtId="4" fontId="6" fillId="0" borderId="34" xfId="0" applyNumberFormat="1" applyFont="1" applyBorder="1" applyAlignment="1" applyProtection="1">
      <alignment/>
      <protection locked="0"/>
    </xf>
    <xf numFmtId="4" fontId="16" fillId="0" borderId="0" xfId="0" applyNumberFormat="1" applyFont="1" applyAlignment="1">
      <alignment/>
    </xf>
    <xf numFmtId="4" fontId="6" fillId="0" borderId="0" xfId="0" applyNumberFormat="1" applyFont="1" applyAlignment="1" applyProtection="1">
      <alignment horizontal="center"/>
      <protection/>
    </xf>
    <xf numFmtId="4" fontId="6" fillId="10" borderId="22" xfId="0" applyNumberFormat="1" applyFont="1" applyFill="1" applyBorder="1" applyAlignment="1" applyProtection="1">
      <alignment/>
      <protection locked="0"/>
    </xf>
    <xf numFmtId="4" fontId="6" fillId="0" borderId="0" xfId="0" applyNumberFormat="1" applyFont="1" applyBorder="1" applyAlignment="1" applyProtection="1">
      <alignment/>
      <protection/>
    </xf>
    <xf numFmtId="4" fontId="6" fillId="0" borderId="41" xfId="0" applyNumberFormat="1" applyFont="1" applyBorder="1" applyAlignment="1" applyProtection="1">
      <alignment/>
      <protection locked="0"/>
    </xf>
    <xf numFmtId="4" fontId="6" fillId="0" borderId="31" xfId="0" applyNumberFormat="1" applyFont="1" applyBorder="1" applyAlignment="1" applyProtection="1">
      <alignment/>
      <protection/>
    </xf>
    <xf numFmtId="4" fontId="6" fillId="0" borderId="0" xfId="0" applyNumberFormat="1" applyFont="1" applyAlignment="1" applyProtection="1">
      <alignment/>
      <protection/>
    </xf>
    <xf numFmtId="4" fontId="6" fillId="0" borderId="42" xfId="0" applyNumberFormat="1" applyFont="1" applyBorder="1" applyAlignment="1" applyProtection="1">
      <alignment/>
      <protection locked="0"/>
    </xf>
    <xf numFmtId="4" fontId="5" fillId="0" borderId="40" xfId="0" applyNumberFormat="1" applyFont="1" applyBorder="1" applyAlignment="1" applyProtection="1">
      <alignment/>
      <protection/>
    </xf>
    <xf numFmtId="4" fontId="6" fillId="0" borderId="34" xfId="0" applyNumberFormat="1" applyFont="1" applyBorder="1" applyAlignment="1" applyProtection="1">
      <alignment/>
      <protection/>
    </xf>
    <xf numFmtId="3" fontId="5" fillId="0" borderId="0" xfId="0" applyNumberFormat="1" applyFont="1" applyAlignment="1" applyProtection="1">
      <alignment horizontal="left"/>
      <protection/>
    </xf>
    <xf numFmtId="188" fontId="4" fillId="0" borderId="0" xfId="0" applyFont="1" applyAlignment="1">
      <alignment horizontal="center" wrapText="1"/>
    </xf>
    <xf numFmtId="188" fontId="13" fillId="18" borderId="0" xfId="0" applyFont="1" applyFill="1" applyAlignment="1" applyProtection="1">
      <alignment horizontal="center"/>
      <protection locked="0"/>
    </xf>
    <xf numFmtId="3" fontId="5" fillId="18" borderId="15" xfId="0" applyNumberFormat="1" applyFont="1" applyFill="1" applyBorder="1" applyAlignment="1">
      <alignment horizontal="center"/>
    </xf>
    <xf numFmtId="3" fontId="6" fillId="18" borderId="15" xfId="0" applyNumberFormat="1" applyFont="1" applyFill="1" applyBorder="1" applyAlignment="1">
      <alignment horizontal="center"/>
    </xf>
    <xf numFmtId="188" fontId="24" fillId="19" borderId="0" xfId="0" applyFont="1" applyFill="1" applyAlignment="1">
      <alignment horizontal="center"/>
    </xf>
    <xf numFmtId="188" fontId="14" fillId="0" borderId="0" xfId="0" applyFont="1" applyBorder="1" applyAlignment="1">
      <alignment horizontal="center"/>
    </xf>
    <xf numFmtId="188" fontId="14" fillId="0" borderId="15" xfId="0" applyFont="1" applyBorder="1" applyAlignment="1" applyProtection="1">
      <alignment horizontal="center"/>
      <protection locked="0"/>
    </xf>
    <xf numFmtId="188" fontId="14" fillId="0" borderId="0" xfId="0" applyFont="1" applyAlignment="1" applyProtection="1">
      <alignment horizontal="center"/>
      <protection locked="0"/>
    </xf>
    <xf numFmtId="188" fontId="4" fillId="0" borderId="0" xfId="0" applyFont="1" applyAlignment="1" applyProtection="1">
      <alignment/>
      <protection locked="0"/>
    </xf>
    <xf numFmtId="188" fontId="16" fillId="0" borderId="0" xfId="0" applyFont="1" applyBorder="1" applyAlignment="1" applyProtection="1">
      <alignment/>
      <protection locked="0"/>
    </xf>
    <xf numFmtId="188" fontId="24" fillId="0" borderId="0" xfId="0" applyFont="1" applyAlignment="1" applyProtection="1">
      <alignment/>
      <protection locked="0"/>
    </xf>
    <xf numFmtId="199" fontId="4" fillId="0" borderId="0" xfId="0" applyNumberFormat="1" applyFont="1" applyAlignment="1" applyProtection="1">
      <alignment horizontal="right"/>
      <protection locked="0"/>
    </xf>
    <xf numFmtId="188" fontId="34" fillId="19" borderId="0" xfId="0" applyFont="1" applyFill="1" applyAlignment="1">
      <alignment/>
    </xf>
    <xf numFmtId="188" fontId="36" fillId="19" borderId="0" xfId="0" applyFont="1" applyFill="1" applyAlignment="1" applyProtection="1">
      <alignment/>
      <protection hidden="1"/>
    </xf>
    <xf numFmtId="3" fontId="6" fillId="0" borderId="0" xfId="0" applyNumberFormat="1" applyFont="1" applyAlignment="1" applyProtection="1">
      <alignment horizontal="center"/>
      <protection hidden="1" locked="0"/>
    </xf>
    <xf numFmtId="3" fontId="5" fillId="0" borderId="15" xfId="0" applyNumberFormat="1" applyFont="1" applyBorder="1" applyAlignment="1" applyProtection="1">
      <alignment/>
      <protection hidden="1"/>
    </xf>
    <xf numFmtId="3" fontId="5" fillId="0" borderId="21" xfId="0" applyNumberFormat="1" applyFont="1" applyBorder="1" applyAlignment="1" applyProtection="1">
      <alignment/>
      <protection hidden="1"/>
    </xf>
    <xf numFmtId="3" fontId="5" fillId="0" borderId="22" xfId="0" applyNumberFormat="1" applyFont="1" applyBorder="1" applyAlignment="1" applyProtection="1">
      <alignment/>
      <protection hidden="1"/>
    </xf>
    <xf numFmtId="3" fontId="5" fillId="0" borderId="34" xfId="0" applyNumberFormat="1" applyFont="1" applyBorder="1" applyAlignment="1" applyProtection="1">
      <alignment/>
      <protection hidden="1"/>
    </xf>
    <xf numFmtId="3" fontId="5" fillId="0" borderId="33" xfId="0" applyNumberFormat="1" applyFont="1" applyBorder="1" applyAlignment="1" applyProtection="1">
      <alignment/>
      <protection hidden="1"/>
    </xf>
    <xf numFmtId="3" fontId="5" fillId="0" borderId="11" xfId="0" applyNumberFormat="1" applyFont="1" applyBorder="1" applyAlignment="1" applyProtection="1">
      <alignment/>
      <protection hidden="1"/>
    </xf>
    <xf numFmtId="3" fontId="5" fillId="10" borderId="22" xfId="0" applyNumberFormat="1" applyFont="1" applyFill="1" applyBorder="1" applyAlignment="1" applyProtection="1">
      <alignment/>
      <protection hidden="1"/>
    </xf>
    <xf numFmtId="3" fontId="5" fillId="0" borderId="40" xfId="0" applyNumberFormat="1" applyFont="1" applyBorder="1" applyAlignment="1" applyProtection="1">
      <alignment/>
      <protection hidden="1"/>
    </xf>
    <xf numFmtId="3" fontId="5" fillId="0" borderId="41" xfId="0" applyNumberFormat="1" applyFont="1" applyBorder="1" applyAlignment="1" applyProtection="1">
      <alignment/>
      <protection hidden="1"/>
    </xf>
    <xf numFmtId="3" fontId="5" fillId="0" borderId="11" xfId="0" applyNumberFormat="1" applyFont="1" applyBorder="1" applyAlignment="1" applyProtection="1">
      <alignment/>
      <protection hidden="1" locked="0"/>
    </xf>
    <xf numFmtId="3" fontId="5" fillId="0" borderId="42" xfId="0" applyNumberFormat="1" applyFont="1" applyBorder="1" applyAlignment="1" applyProtection="1">
      <alignment/>
      <protection hidden="1"/>
    </xf>
    <xf numFmtId="4" fontId="0" fillId="19" borderId="0" xfId="0" applyNumberFormat="1" applyFont="1" applyFill="1" applyAlignment="1" applyProtection="1">
      <alignment/>
      <protection/>
    </xf>
    <xf numFmtId="4" fontId="4" fillId="0" borderId="0" xfId="0" applyNumberFormat="1" applyFont="1" applyAlignment="1" applyProtection="1">
      <alignment/>
      <protection/>
    </xf>
    <xf numFmtId="188" fontId="0" fillId="19" borderId="0" xfId="0" applyFont="1" applyFill="1" applyAlignment="1" applyProtection="1">
      <alignment/>
      <protection/>
    </xf>
    <xf numFmtId="14" fontId="16" fillId="0" borderId="0" xfId="0" applyNumberFormat="1" applyFont="1" applyBorder="1" applyAlignment="1" applyProtection="1">
      <alignment horizontal="left"/>
      <protection locked="0"/>
    </xf>
    <xf numFmtId="205" fontId="9" fillId="20" borderId="0" xfId="0" applyNumberFormat="1" applyFont="1" applyFill="1" applyAlignment="1" applyProtection="1">
      <alignment horizontal="left"/>
      <protection/>
    </xf>
    <xf numFmtId="188" fontId="10" fillId="20" borderId="0" xfId="0" applyFont="1" applyFill="1" applyAlignment="1">
      <alignment/>
    </xf>
    <xf numFmtId="188" fontId="13" fillId="20" borderId="0" xfId="0" applyFont="1" applyFill="1" applyBorder="1" applyAlignment="1">
      <alignment/>
    </xf>
    <xf numFmtId="188" fontId="14" fillId="20" borderId="0" xfId="0" applyFont="1" applyFill="1" applyBorder="1" applyAlignment="1">
      <alignment horizontal="center"/>
    </xf>
    <xf numFmtId="205" fontId="5" fillId="20" borderId="15" xfId="0" applyNumberFormat="1" applyFont="1" applyFill="1" applyBorder="1" applyAlignment="1" applyProtection="1">
      <alignment horizontal="left"/>
      <protection/>
    </xf>
    <xf numFmtId="49" fontId="5" fillId="20" borderId="10" xfId="0" applyNumberFormat="1" applyFont="1" applyFill="1" applyBorder="1" applyAlignment="1">
      <alignment/>
    </xf>
    <xf numFmtId="0" fontId="14" fillId="20" borderId="13" xfId="0" applyNumberFormat="1" applyFont="1" applyFill="1" applyBorder="1" applyAlignment="1" applyProtection="1">
      <alignment horizontal="left"/>
      <protection locked="0"/>
    </xf>
    <xf numFmtId="0" fontId="6" fillId="20" borderId="19" xfId="0" applyNumberFormat="1" applyFont="1" applyFill="1" applyBorder="1" applyAlignment="1" applyProtection="1">
      <alignment/>
      <protection locked="0"/>
    </xf>
    <xf numFmtId="3" fontId="6" fillId="20" borderId="10" xfId="0" applyNumberFormat="1" applyFont="1" applyFill="1" applyBorder="1" applyAlignment="1" applyProtection="1">
      <alignment/>
      <protection locked="0"/>
    </xf>
    <xf numFmtId="3" fontId="5" fillId="20" borderId="21" xfId="0" applyNumberFormat="1" applyFont="1" applyFill="1" applyBorder="1" applyAlignment="1" applyProtection="1">
      <alignment/>
      <protection/>
    </xf>
    <xf numFmtId="3" fontId="6" fillId="20" borderId="0" xfId="0" applyNumberFormat="1" applyFont="1" applyFill="1" applyAlignment="1" applyProtection="1">
      <alignment horizontal="center"/>
      <protection locked="0"/>
    </xf>
    <xf numFmtId="3" fontId="5" fillId="20" borderId="0" xfId="0" applyNumberFormat="1" applyFont="1" applyFill="1" applyBorder="1" applyAlignment="1" applyProtection="1">
      <alignment/>
      <protection/>
    </xf>
    <xf numFmtId="188" fontId="14" fillId="20" borderId="15" xfId="0" applyFont="1" applyFill="1" applyBorder="1" applyAlignment="1" applyProtection="1">
      <alignment horizontal="center"/>
      <protection locked="0"/>
    </xf>
    <xf numFmtId="3" fontId="5" fillId="20" borderId="15" xfId="0" applyNumberFormat="1" applyFont="1" applyFill="1" applyBorder="1" applyAlignment="1">
      <alignment/>
    </xf>
    <xf numFmtId="0" fontId="6" fillId="20" borderId="15" xfId="0" applyNumberFormat="1" applyFont="1" applyFill="1" applyBorder="1" applyAlignment="1" applyProtection="1">
      <alignment/>
      <protection locked="0"/>
    </xf>
    <xf numFmtId="3" fontId="5" fillId="20" borderId="22" xfId="0" applyNumberFormat="1" applyFont="1" applyFill="1" applyBorder="1" applyAlignment="1" applyProtection="1">
      <alignment/>
      <protection/>
    </xf>
    <xf numFmtId="49" fontId="5" fillId="20" borderId="12" xfId="0" applyNumberFormat="1" applyFont="1" applyFill="1" applyBorder="1" applyAlignment="1">
      <alignment/>
    </xf>
    <xf numFmtId="49" fontId="5" fillId="20" borderId="11" xfId="0" applyNumberFormat="1" applyFont="1" applyFill="1" applyBorder="1" applyAlignment="1">
      <alignment/>
    </xf>
    <xf numFmtId="0" fontId="6" fillId="20" borderId="20" xfId="0" applyNumberFormat="1" applyFont="1" applyFill="1" applyBorder="1" applyAlignment="1" applyProtection="1">
      <alignment/>
      <protection locked="0"/>
    </xf>
    <xf numFmtId="3" fontId="6" fillId="20" borderId="12" xfId="0" applyNumberFormat="1" applyFont="1" applyFill="1" applyBorder="1" applyAlignment="1" applyProtection="1">
      <alignment/>
      <protection locked="0"/>
    </xf>
    <xf numFmtId="49" fontId="5" fillId="20" borderId="18" xfId="0" applyNumberFormat="1" applyFont="1" applyFill="1" applyBorder="1" applyAlignment="1">
      <alignment/>
    </xf>
    <xf numFmtId="0" fontId="6" fillId="20" borderId="13" xfId="0" applyNumberFormat="1" applyFont="1" applyFill="1" applyBorder="1" applyAlignment="1" applyProtection="1">
      <alignment/>
      <protection/>
    </xf>
    <xf numFmtId="3" fontId="6" fillId="20" borderId="11" xfId="0" applyNumberFormat="1" applyFont="1" applyFill="1" applyBorder="1" applyAlignment="1" applyProtection="1">
      <alignment/>
      <protection/>
    </xf>
    <xf numFmtId="3" fontId="6" fillId="20" borderId="0" xfId="0" applyNumberFormat="1" applyFont="1" applyFill="1" applyAlignment="1" applyProtection="1">
      <alignment horizontal="center"/>
      <protection/>
    </xf>
    <xf numFmtId="3" fontId="11" fillId="20" borderId="0" xfId="0" applyNumberFormat="1" applyFont="1" applyFill="1" applyBorder="1" applyAlignment="1" applyProtection="1">
      <alignment/>
      <protection/>
    </xf>
    <xf numFmtId="49" fontId="5" fillId="20" borderId="17" xfId="0" applyNumberFormat="1" applyFont="1" applyFill="1" applyBorder="1" applyAlignment="1">
      <alignment/>
    </xf>
    <xf numFmtId="0" fontId="6" fillId="20" borderId="13" xfId="0" applyNumberFormat="1" applyFont="1" applyFill="1" applyBorder="1" applyAlignment="1" applyProtection="1">
      <alignment/>
      <protection locked="0"/>
    </xf>
    <xf numFmtId="3" fontId="6" fillId="20" borderId="11" xfId="0" applyNumberFormat="1" applyFont="1" applyFill="1" applyBorder="1" applyAlignment="1" applyProtection="1">
      <alignment/>
      <protection locked="0"/>
    </xf>
    <xf numFmtId="3" fontId="12" fillId="20" borderId="0" xfId="0" applyNumberFormat="1" applyFont="1" applyFill="1" applyAlignment="1" applyProtection="1">
      <alignment/>
      <protection/>
    </xf>
    <xf numFmtId="49" fontId="5" fillId="20" borderId="36" xfId="0" applyNumberFormat="1" applyFont="1" applyFill="1" applyBorder="1" applyAlignment="1">
      <alignment/>
    </xf>
    <xf numFmtId="0" fontId="14" fillId="20" borderId="37" xfId="0" applyNumberFormat="1" applyFont="1" applyFill="1" applyBorder="1" applyAlignment="1" applyProtection="1">
      <alignment horizontal="left"/>
      <protection locked="0"/>
    </xf>
    <xf numFmtId="0" fontId="6" fillId="20" borderId="37" xfId="0" applyNumberFormat="1" applyFont="1" applyFill="1" applyBorder="1" applyAlignment="1" applyProtection="1">
      <alignment/>
      <protection locked="0"/>
    </xf>
    <xf numFmtId="3" fontId="6" fillId="20" borderId="38" xfId="0" applyNumberFormat="1" applyFont="1" applyFill="1" applyBorder="1" applyAlignment="1" applyProtection="1">
      <alignment/>
      <protection locked="0"/>
    </xf>
    <xf numFmtId="3" fontId="5" fillId="20" borderId="34" xfId="0" applyNumberFormat="1" applyFont="1" applyFill="1" applyBorder="1" applyAlignment="1" applyProtection="1">
      <alignment/>
      <protection/>
    </xf>
    <xf numFmtId="205" fontId="17" fillId="20" borderId="0" xfId="0" applyNumberFormat="1" applyFont="1" applyFill="1" applyBorder="1" applyAlignment="1">
      <alignment horizontal="left"/>
    </xf>
    <xf numFmtId="188" fontId="4" fillId="20" borderId="0" xfId="0" applyFont="1" applyFill="1" applyBorder="1" applyAlignment="1">
      <alignment/>
    </xf>
    <xf numFmtId="188" fontId="14" fillId="20" borderId="0" xfId="0" applyFont="1" applyFill="1" applyBorder="1" applyAlignment="1" applyProtection="1">
      <alignment/>
      <protection locked="0"/>
    </xf>
    <xf numFmtId="0" fontId="5" fillId="20" borderId="0" xfId="0" applyNumberFormat="1" applyFont="1" applyFill="1" applyBorder="1" applyAlignment="1" applyProtection="1">
      <alignment/>
      <protection/>
    </xf>
    <xf numFmtId="3" fontId="5" fillId="20" borderId="35" xfId="0" applyNumberFormat="1" applyFont="1" applyFill="1" applyBorder="1" applyAlignment="1" applyProtection="1">
      <alignment horizontal="right"/>
      <protection/>
    </xf>
    <xf numFmtId="3" fontId="5" fillId="20" borderId="33" xfId="0" applyNumberFormat="1" applyFont="1" applyFill="1" applyBorder="1" applyAlignment="1" applyProtection="1">
      <alignment/>
      <protection/>
    </xf>
    <xf numFmtId="205" fontId="4" fillId="20" borderId="0" xfId="0" applyNumberFormat="1" applyFont="1" applyFill="1" applyAlignment="1">
      <alignment horizontal="left"/>
    </xf>
    <xf numFmtId="188" fontId="4" fillId="20" borderId="0" xfId="0" applyFont="1" applyFill="1" applyAlignment="1">
      <alignment/>
    </xf>
    <xf numFmtId="3" fontId="5" fillId="20" borderId="0" xfId="0" applyNumberFormat="1" applyFont="1" applyFill="1" applyAlignment="1" applyProtection="1">
      <alignment/>
      <protection/>
    </xf>
    <xf numFmtId="0" fontId="5" fillId="20" borderId="0" xfId="0" applyNumberFormat="1" applyFont="1" applyFill="1" applyAlignment="1" applyProtection="1">
      <alignment/>
      <protection/>
    </xf>
    <xf numFmtId="188" fontId="5" fillId="20" borderId="0" xfId="0" applyFont="1" applyFill="1" applyAlignment="1">
      <alignment/>
    </xf>
    <xf numFmtId="0" fontId="6" fillId="20" borderId="16" xfId="0" applyNumberFormat="1" applyFont="1" applyFill="1" applyBorder="1" applyAlignment="1" applyProtection="1">
      <alignment/>
      <protection locked="0"/>
    </xf>
    <xf numFmtId="49" fontId="5" fillId="20" borderId="11" xfId="0" applyNumberFormat="1" applyFont="1" applyFill="1" applyBorder="1" applyAlignment="1" quotePrefix="1">
      <alignment/>
    </xf>
    <xf numFmtId="9" fontId="6" fillId="20" borderId="16" xfId="0" applyNumberFormat="1" applyFont="1" applyFill="1" applyBorder="1" applyAlignment="1" applyProtection="1">
      <alignment/>
      <protection locked="0"/>
    </xf>
    <xf numFmtId="3" fontId="5" fillId="20" borderId="11" xfId="0" applyNumberFormat="1" applyFont="1" applyFill="1" applyBorder="1" applyAlignment="1" applyProtection="1">
      <alignment/>
      <protection hidden="1"/>
    </xf>
    <xf numFmtId="0" fontId="6" fillId="20" borderId="16" xfId="0" applyNumberFormat="1" applyFont="1" applyFill="1" applyBorder="1" applyAlignment="1" applyProtection="1">
      <alignment/>
      <protection/>
    </xf>
    <xf numFmtId="188" fontId="5" fillId="20" borderId="11" xfId="0" applyFont="1" applyFill="1" applyBorder="1" applyAlignment="1">
      <alignment/>
    </xf>
    <xf numFmtId="0" fontId="6" fillId="20" borderId="16" xfId="0" applyNumberFormat="1" applyFont="1" applyFill="1" applyBorder="1" applyAlignment="1" applyProtection="1">
      <alignment/>
      <protection locked="0"/>
    </xf>
    <xf numFmtId="3" fontId="6" fillId="20" borderId="11" xfId="0" applyNumberFormat="1" applyFont="1" applyFill="1" applyBorder="1" applyAlignment="1" applyProtection="1">
      <alignment/>
      <protection locked="0"/>
    </xf>
    <xf numFmtId="3" fontId="6" fillId="20" borderId="0" xfId="0" applyNumberFormat="1" applyFont="1" applyFill="1" applyAlignment="1" applyProtection="1">
      <alignment horizontal="center"/>
      <protection/>
    </xf>
    <xf numFmtId="205" fontId="17" fillId="20" borderId="0" xfId="0" applyNumberFormat="1" applyFont="1" applyFill="1" applyAlignment="1">
      <alignment horizontal="left"/>
    </xf>
    <xf numFmtId="3" fontId="6" fillId="20" borderId="0" xfId="0" applyNumberFormat="1" applyFont="1" applyFill="1" applyBorder="1" applyAlignment="1" applyProtection="1">
      <alignment/>
      <protection/>
    </xf>
    <xf numFmtId="0" fontId="6" fillId="20" borderId="0" xfId="0" applyNumberFormat="1" applyFont="1" applyFill="1" applyBorder="1" applyAlignment="1" applyProtection="1">
      <alignment/>
      <protection/>
    </xf>
    <xf numFmtId="3" fontId="5" fillId="20" borderId="0" xfId="0" applyNumberFormat="1" applyFont="1" applyFill="1" applyAlignment="1" applyProtection="1">
      <alignment horizontal="right"/>
      <protection/>
    </xf>
    <xf numFmtId="3" fontId="5" fillId="20" borderId="11" xfId="0" applyNumberFormat="1" applyFont="1" applyFill="1" applyBorder="1" applyAlignment="1" applyProtection="1">
      <alignment/>
      <protection/>
    </xf>
    <xf numFmtId="3" fontId="5" fillId="20" borderId="0" xfId="0" applyNumberFormat="1" applyFont="1" applyFill="1" applyAlignment="1">
      <alignment/>
    </xf>
    <xf numFmtId="188" fontId="14" fillId="20" borderId="14" xfId="0" applyFont="1" applyFill="1" applyBorder="1" applyAlignment="1" applyProtection="1">
      <alignment/>
      <protection locked="0"/>
    </xf>
    <xf numFmtId="3" fontId="5" fillId="20" borderId="11" xfId="0" applyNumberFormat="1" applyFont="1" applyFill="1" applyBorder="1" applyAlignment="1" applyProtection="1">
      <alignment/>
      <protection locked="0"/>
    </xf>
    <xf numFmtId="3" fontId="6" fillId="20" borderId="16" xfId="0" applyNumberFormat="1" applyFont="1" applyFill="1" applyBorder="1" applyAlignment="1" applyProtection="1">
      <alignment/>
      <protection locked="0"/>
    </xf>
    <xf numFmtId="188" fontId="0" fillId="20" borderId="0" xfId="0" applyFill="1" applyAlignment="1">
      <alignment/>
    </xf>
    <xf numFmtId="3" fontId="6" fillId="20" borderId="16" xfId="0" applyNumberFormat="1" applyFont="1" applyFill="1" applyBorder="1" applyAlignment="1" applyProtection="1">
      <alignment/>
      <protection/>
    </xf>
    <xf numFmtId="188" fontId="9" fillId="20" borderId="0" xfId="0" applyFont="1" applyFill="1" applyAlignment="1">
      <alignment/>
    </xf>
    <xf numFmtId="49" fontId="5" fillId="20" borderId="11" xfId="0" applyNumberFormat="1" applyFont="1" applyFill="1" applyBorder="1" applyAlignment="1">
      <alignment horizontal="left"/>
    </xf>
    <xf numFmtId="3" fontId="5" fillId="20" borderId="0" xfId="0" applyNumberFormat="1" applyFont="1" applyFill="1" applyAlignment="1" applyProtection="1">
      <alignment horizontal="center"/>
      <protection/>
    </xf>
    <xf numFmtId="0" fontId="5" fillId="20" borderId="0" xfId="0" applyNumberFormat="1" applyFont="1" applyFill="1" applyAlignment="1">
      <alignment/>
    </xf>
    <xf numFmtId="3" fontId="5" fillId="20" borderId="0" xfId="0" applyNumberFormat="1" applyFont="1" applyFill="1" applyAlignment="1" applyProtection="1">
      <alignment horizontal="right"/>
      <protection/>
    </xf>
    <xf numFmtId="4" fontId="6" fillId="20" borderId="11" xfId="0" applyNumberFormat="1" applyFont="1" applyFill="1" applyBorder="1" applyAlignment="1" applyProtection="1">
      <alignment/>
      <protection locked="0"/>
    </xf>
    <xf numFmtId="200" fontId="13" fillId="20" borderId="37" xfId="0" applyNumberFormat="1" applyFont="1" applyFill="1" applyBorder="1" applyAlignment="1" applyProtection="1">
      <alignment horizontal="left"/>
      <protection hidden="1" locked="0"/>
    </xf>
    <xf numFmtId="49" fontId="5" fillId="20" borderId="0" xfId="0" applyNumberFormat="1" applyFont="1" applyFill="1" applyBorder="1" applyAlignment="1">
      <alignment/>
    </xf>
    <xf numFmtId="205" fontId="5" fillId="20" borderId="0" xfId="0" applyNumberFormat="1" applyFont="1" applyFill="1" applyAlignment="1">
      <alignment horizontal="left"/>
    </xf>
    <xf numFmtId="205" fontId="17" fillId="20" borderId="0" xfId="0" applyNumberFormat="1" applyFont="1" applyFill="1" applyAlignment="1" applyProtection="1">
      <alignment horizontal="left"/>
      <protection/>
    </xf>
    <xf numFmtId="205" fontId="13" fillId="20" borderId="0" xfId="0" applyNumberFormat="1" applyFont="1" applyFill="1" applyAlignment="1" applyProtection="1">
      <alignment/>
      <protection locked="0"/>
    </xf>
    <xf numFmtId="188" fontId="13" fillId="20" borderId="0" xfId="0" applyFont="1" applyFill="1" applyAlignment="1" applyProtection="1">
      <alignment/>
      <protection locked="0"/>
    </xf>
    <xf numFmtId="188" fontId="8" fillId="20" borderId="0" xfId="0" applyFont="1" applyFill="1" applyBorder="1" applyAlignment="1" applyProtection="1">
      <alignment/>
      <protection/>
    </xf>
    <xf numFmtId="1" fontId="8" fillId="20" borderId="0" xfId="0" applyNumberFormat="1" applyFont="1" applyFill="1" applyBorder="1" applyAlignment="1" applyProtection="1">
      <alignment/>
      <protection/>
    </xf>
    <xf numFmtId="193" fontId="8" fillId="20" borderId="0" xfId="0" applyNumberFormat="1" applyFont="1" applyFill="1" applyBorder="1" applyAlignment="1" applyProtection="1">
      <alignment/>
      <protection/>
    </xf>
    <xf numFmtId="193" fontId="4" fillId="20" borderId="0" xfId="0" applyNumberFormat="1" applyFont="1" applyFill="1" applyBorder="1" applyAlignment="1" applyProtection="1">
      <alignment/>
      <protection/>
    </xf>
    <xf numFmtId="188" fontId="19" fillId="20" borderId="0" xfId="0" applyFont="1" applyFill="1" applyBorder="1" applyAlignment="1" applyProtection="1">
      <alignment/>
      <protection/>
    </xf>
    <xf numFmtId="188" fontId="25" fillId="20" borderId="0" xfId="0" applyFont="1" applyFill="1" applyAlignment="1" applyProtection="1">
      <alignment/>
      <protection/>
    </xf>
    <xf numFmtId="193" fontId="10" fillId="20" borderId="0" xfId="0" applyNumberFormat="1" applyFont="1" applyFill="1" applyBorder="1" applyAlignment="1" applyProtection="1">
      <alignment/>
      <protection/>
    </xf>
    <xf numFmtId="188" fontId="10" fillId="20" borderId="0" xfId="0" applyFont="1" applyFill="1" applyBorder="1" applyAlignment="1" applyProtection="1">
      <alignment/>
      <protection/>
    </xf>
    <xf numFmtId="188" fontId="9" fillId="20" borderId="0" xfId="0" applyFont="1" applyFill="1" applyBorder="1" applyAlignment="1" applyProtection="1">
      <alignment/>
      <protection/>
    </xf>
    <xf numFmtId="14" fontId="10" fillId="20" borderId="0" xfId="0" applyNumberFormat="1" applyFont="1" applyFill="1" applyBorder="1" applyAlignment="1" applyProtection="1">
      <alignment horizontal="left"/>
      <protection/>
    </xf>
    <xf numFmtId="1" fontId="10" fillId="20" borderId="0" xfId="0" applyNumberFormat="1" applyFont="1" applyFill="1" applyBorder="1" applyAlignment="1" applyProtection="1">
      <alignment/>
      <protection/>
    </xf>
    <xf numFmtId="49" fontId="10" fillId="20" borderId="0" xfId="0" applyNumberFormat="1" applyFont="1" applyFill="1" applyBorder="1" applyAlignment="1" applyProtection="1">
      <alignment/>
      <protection/>
    </xf>
    <xf numFmtId="193" fontId="10" fillId="20" borderId="15" xfId="0" applyNumberFormat="1" applyFont="1" applyFill="1" applyBorder="1" applyAlignment="1" applyProtection="1">
      <alignment/>
      <protection/>
    </xf>
    <xf numFmtId="193" fontId="4" fillId="20" borderId="15" xfId="0" applyNumberFormat="1" applyFont="1" applyFill="1" applyBorder="1" applyAlignment="1" applyProtection="1">
      <alignment/>
      <protection/>
    </xf>
    <xf numFmtId="188" fontId="9" fillId="20" borderId="0" xfId="0" applyFont="1" applyFill="1" applyBorder="1" applyAlignment="1" applyProtection="1">
      <alignment/>
      <protection/>
    </xf>
    <xf numFmtId="193" fontId="10" fillId="20" borderId="0" xfId="0" applyNumberFormat="1" applyFont="1" applyFill="1" applyBorder="1" applyAlignment="1" applyProtection="1" quotePrefix="1">
      <alignment horizontal="right"/>
      <protection/>
    </xf>
    <xf numFmtId="193" fontId="4" fillId="20" borderId="0" xfId="0" applyNumberFormat="1" applyFont="1" applyFill="1" applyBorder="1" applyAlignment="1" applyProtection="1" quotePrefix="1">
      <alignment horizontal="right"/>
      <protection/>
    </xf>
    <xf numFmtId="188" fontId="25" fillId="20" borderId="0" xfId="0" applyFont="1" applyFill="1" applyBorder="1" applyAlignment="1" applyProtection="1">
      <alignment/>
      <protection/>
    </xf>
    <xf numFmtId="193" fontId="10" fillId="20" borderId="0" xfId="0" applyNumberFormat="1" applyFont="1" applyFill="1" applyAlignment="1" applyProtection="1">
      <alignment/>
      <protection/>
    </xf>
    <xf numFmtId="193" fontId="10" fillId="20" borderId="29" xfId="0" applyNumberFormat="1" applyFont="1" applyFill="1" applyBorder="1" applyAlignment="1" applyProtection="1">
      <alignment/>
      <protection/>
    </xf>
    <xf numFmtId="200" fontId="10" fillId="20" borderId="0" xfId="0" applyNumberFormat="1" applyFont="1" applyFill="1" applyBorder="1" applyAlignment="1" applyProtection="1" quotePrefix="1">
      <alignment horizontal="center"/>
      <protection/>
    </xf>
    <xf numFmtId="200" fontId="4" fillId="20" borderId="0" xfId="0" applyNumberFormat="1" applyFont="1" applyFill="1" applyBorder="1" applyAlignment="1" applyProtection="1" quotePrefix="1">
      <alignment horizontal="center"/>
      <protection/>
    </xf>
    <xf numFmtId="193" fontId="10" fillId="20" borderId="30" xfId="0" applyNumberFormat="1" applyFont="1" applyFill="1" applyBorder="1" applyAlignment="1" applyProtection="1">
      <alignment/>
      <protection/>
    </xf>
    <xf numFmtId="193" fontId="4" fillId="20" borderId="30" xfId="0" applyNumberFormat="1" applyFont="1" applyFill="1" applyBorder="1" applyAlignment="1" applyProtection="1">
      <alignment/>
      <protection/>
    </xf>
    <xf numFmtId="188" fontId="10" fillId="20" borderId="0" xfId="0" applyFont="1" applyFill="1" applyBorder="1" applyAlignment="1" applyProtection="1">
      <alignment horizontal="right"/>
      <protection/>
    </xf>
    <xf numFmtId="188" fontId="10" fillId="20" borderId="0" xfId="0" applyFont="1" applyFill="1" applyBorder="1" applyAlignment="1" applyProtection="1">
      <alignment horizontal="center"/>
      <protection/>
    </xf>
    <xf numFmtId="49" fontId="18" fillId="20" borderId="0" xfId="0" applyNumberFormat="1" applyFont="1" applyFill="1" applyBorder="1" applyAlignment="1" applyProtection="1">
      <alignment/>
      <protection/>
    </xf>
    <xf numFmtId="188" fontId="18" fillId="20" borderId="0" xfId="0" applyFont="1" applyFill="1" applyBorder="1" applyAlignment="1" applyProtection="1">
      <alignment/>
      <protection/>
    </xf>
    <xf numFmtId="193" fontId="18" fillId="20" borderId="0" xfId="0" applyNumberFormat="1" applyFont="1" applyFill="1" applyBorder="1" applyAlignment="1" applyProtection="1">
      <alignment/>
      <protection/>
    </xf>
    <xf numFmtId="193" fontId="18" fillId="20" borderId="0" xfId="0" applyNumberFormat="1" applyFont="1" applyFill="1" applyAlignment="1" applyProtection="1">
      <alignment/>
      <protection/>
    </xf>
    <xf numFmtId="188" fontId="4" fillId="20" borderId="0" xfId="0" applyFont="1" applyFill="1" applyBorder="1" applyAlignment="1" applyProtection="1">
      <alignment/>
      <protection/>
    </xf>
    <xf numFmtId="188" fontId="0" fillId="20" borderId="0" xfId="0" applyFill="1" applyAlignment="1">
      <alignment/>
    </xf>
    <xf numFmtId="0" fontId="5" fillId="20" borderId="0" xfId="0" applyNumberFormat="1" applyFont="1" applyFill="1" applyAlignment="1" applyProtection="1">
      <alignment horizontal="center"/>
      <protection/>
    </xf>
    <xf numFmtId="188" fontId="5" fillId="20" borderId="0" xfId="0" applyFont="1" applyFill="1" applyAlignment="1">
      <alignment horizontal="center"/>
    </xf>
    <xf numFmtId="188" fontId="12" fillId="20" borderId="0" xfId="0" applyFont="1" applyFill="1" applyAlignment="1">
      <alignment/>
    </xf>
    <xf numFmtId="1" fontId="5" fillId="20" borderId="15" xfId="0" applyNumberFormat="1" applyFont="1" applyFill="1" applyBorder="1" applyAlignment="1" applyProtection="1">
      <alignment horizontal="left"/>
      <protection locked="0"/>
    </xf>
    <xf numFmtId="0" fontId="6" fillId="20" borderId="13" xfId="0" applyNumberFormat="1" applyFont="1" applyFill="1" applyBorder="1" applyAlignment="1" applyProtection="1">
      <alignment horizontal="left"/>
      <protection locked="0"/>
    </xf>
    <xf numFmtId="3" fontId="5" fillId="20" borderId="0" xfId="0" applyNumberFormat="1" applyFont="1" applyFill="1" applyBorder="1" applyAlignment="1">
      <alignment/>
    </xf>
    <xf numFmtId="188" fontId="17" fillId="20" borderId="0" xfId="0" applyFont="1" applyFill="1" applyAlignment="1" applyProtection="1">
      <alignment horizontal="left"/>
      <protection/>
    </xf>
    <xf numFmtId="188" fontId="4" fillId="20" borderId="0" xfId="0" applyFont="1" applyFill="1" applyAlignment="1" applyProtection="1">
      <alignment/>
      <protection locked="0"/>
    </xf>
    <xf numFmtId="3" fontId="5" fillId="20" borderId="32" xfId="0" applyNumberFormat="1" applyFont="1" applyFill="1" applyBorder="1" applyAlignment="1" applyProtection="1">
      <alignment/>
      <protection/>
    </xf>
    <xf numFmtId="3" fontId="40" fillId="20" borderId="0" xfId="0" applyNumberFormat="1" applyFont="1" applyFill="1" applyAlignment="1" applyProtection="1">
      <alignment horizontal="center"/>
      <protection/>
    </xf>
    <xf numFmtId="0" fontId="40" fillId="20" borderId="0" xfId="0" applyNumberFormat="1" applyFont="1" applyFill="1" applyAlignment="1" applyProtection="1">
      <alignment horizontal="center"/>
      <protection/>
    </xf>
    <xf numFmtId="3" fontId="22" fillId="20" borderId="0" xfId="0" applyNumberFormat="1" applyFont="1" applyFill="1" applyAlignment="1" applyProtection="1">
      <alignment horizontal="center"/>
      <protection/>
    </xf>
    <xf numFmtId="0" fontId="22" fillId="20" borderId="0" xfId="0" applyNumberFormat="1" applyFont="1" applyFill="1" applyAlignment="1" applyProtection="1">
      <alignment horizontal="center"/>
      <protection/>
    </xf>
    <xf numFmtId="3" fontId="5" fillId="20" borderId="0" xfId="0" applyNumberFormat="1" applyFont="1" applyFill="1" applyAlignment="1" applyProtection="1">
      <alignment horizontal="center"/>
      <protection/>
    </xf>
    <xf numFmtId="188" fontId="0" fillId="19" borderId="0" xfId="0" applyFont="1" applyFill="1" applyAlignment="1" applyProtection="1">
      <alignment/>
      <protection hidden="1"/>
    </xf>
    <xf numFmtId="3" fontId="5" fillId="0" borderId="0" xfId="0" applyNumberFormat="1" applyFont="1" applyAlignment="1" applyProtection="1">
      <alignment horizontal="center"/>
      <protection hidden="1"/>
    </xf>
    <xf numFmtId="3" fontId="5" fillId="0" borderId="0" xfId="0" applyNumberFormat="1" applyFont="1" applyAlignment="1" applyProtection="1">
      <alignment/>
      <protection hidden="1"/>
    </xf>
    <xf numFmtId="3" fontId="22" fillId="0" borderId="0" xfId="0" applyNumberFormat="1" applyFont="1" applyAlignment="1" applyProtection="1">
      <alignment/>
      <protection hidden="1"/>
    </xf>
    <xf numFmtId="3" fontId="22" fillId="0" borderId="0" xfId="0" applyNumberFormat="1" applyFont="1" applyAlignment="1" applyProtection="1">
      <alignment horizontal="center"/>
      <protection hidden="1"/>
    </xf>
    <xf numFmtId="3" fontId="5" fillId="0" borderId="15" xfId="0" applyNumberFormat="1" applyFont="1" applyBorder="1" applyAlignment="1" applyProtection="1" quotePrefix="1">
      <alignment/>
      <protection hidden="1"/>
    </xf>
    <xf numFmtId="3" fontId="5" fillId="0" borderId="15" xfId="0" applyNumberFormat="1" applyFont="1" applyBorder="1" applyAlignment="1" applyProtection="1">
      <alignment/>
      <protection hidden="1"/>
    </xf>
    <xf numFmtId="188" fontId="13" fillId="0" borderId="0" xfId="0" applyFont="1" applyBorder="1" applyAlignment="1" applyProtection="1">
      <alignment/>
      <protection hidden="1"/>
    </xf>
    <xf numFmtId="3" fontId="5" fillId="0" borderId="0" xfId="0" applyNumberFormat="1" applyFont="1" applyBorder="1" applyAlignment="1" applyProtection="1">
      <alignment/>
      <protection hidden="1"/>
    </xf>
    <xf numFmtId="188" fontId="13" fillId="0" borderId="0" xfId="0" applyFont="1" applyAlignment="1" applyProtection="1">
      <alignment/>
      <protection hidden="1" locked="0"/>
    </xf>
    <xf numFmtId="188" fontId="24" fillId="19" borderId="0" xfId="0" applyFont="1" applyFill="1" applyAlignment="1" applyProtection="1">
      <alignment horizontal="center"/>
      <protection hidden="1"/>
    </xf>
    <xf numFmtId="4" fontId="0" fillId="19" borderId="0" xfId="0" applyNumberFormat="1" applyFont="1" applyFill="1" applyAlignment="1" applyProtection="1">
      <alignment/>
      <protection hidden="1"/>
    </xf>
    <xf numFmtId="3" fontId="5" fillId="0" borderId="0" xfId="0" applyNumberFormat="1" applyFont="1" applyAlignment="1" applyProtection="1">
      <alignment horizontal="center"/>
      <protection hidden="1"/>
    </xf>
    <xf numFmtId="188" fontId="14" fillId="0" borderId="0" xfId="0" applyFont="1" applyBorder="1" applyAlignment="1" applyProtection="1">
      <alignment horizontal="center"/>
      <protection hidden="1" locked="0"/>
    </xf>
    <xf numFmtId="4" fontId="5" fillId="0" borderId="0" xfId="0" applyNumberFormat="1" applyFont="1" applyAlignment="1" applyProtection="1">
      <alignment horizontal="center"/>
      <protection hidden="1"/>
    </xf>
    <xf numFmtId="188" fontId="14" fillId="0" borderId="0" xfId="0" applyFont="1" applyBorder="1" applyAlignment="1" applyProtection="1">
      <alignment horizontal="center"/>
      <protection hidden="1"/>
    </xf>
    <xf numFmtId="4" fontId="1" fillId="0" borderId="0" xfId="0" applyNumberFormat="1" applyFont="1" applyAlignment="1" applyProtection="1">
      <alignment horizontal="center" vertical="top"/>
      <protection hidden="1"/>
    </xf>
    <xf numFmtId="188" fontId="4" fillId="10" borderId="0" xfId="0" applyFont="1" applyFill="1" applyAlignment="1" applyProtection="1">
      <alignment/>
      <protection hidden="1"/>
    </xf>
    <xf numFmtId="199" fontId="5" fillId="0" borderId="0" xfId="0" applyNumberFormat="1" applyFont="1" applyAlignment="1" applyProtection="1">
      <alignment horizontal="center"/>
      <protection hidden="1"/>
    </xf>
    <xf numFmtId="3" fontId="40" fillId="20" borderId="0" xfId="0" applyNumberFormat="1" applyFont="1" applyFill="1" applyAlignment="1" applyProtection="1">
      <alignment horizontal="center"/>
      <protection hidden="1"/>
    </xf>
    <xf numFmtId="3" fontId="40" fillId="20" borderId="0" xfId="0" applyNumberFormat="1" applyFont="1" applyFill="1" applyAlignment="1" applyProtection="1">
      <alignment horizontal="right"/>
      <protection hidden="1"/>
    </xf>
    <xf numFmtId="188" fontId="41" fillId="20" borderId="0" xfId="0" applyFont="1" applyFill="1" applyBorder="1" applyAlignment="1" applyProtection="1">
      <alignment horizontal="center"/>
      <protection hidden="1"/>
    </xf>
    <xf numFmtId="188" fontId="42" fillId="20" borderId="0" xfId="0" applyFont="1" applyFill="1" applyAlignment="1" applyProtection="1">
      <alignment/>
      <protection hidden="1"/>
    </xf>
    <xf numFmtId="3" fontId="5" fillId="20" borderId="21" xfId="0" applyNumberFormat="1" applyFont="1" applyFill="1" applyBorder="1" applyAlignment="1" applyProtection="1">
      <alignment/>
      <protection hidden="1"/>
    </xf>
    <xf numFmtId="3" fontId="6" fillId="20" borderId="0" xfId="0" applyNumberFormat="1" applyFont="1" applyFill="1" applyAlignment="1" applyProtection="1">
      <alignment horizontal="center"/>
      <protection hidden="1" locked="0"/>
    </xf>
    <xf numFmtId="3" fontId="5" fillId="20" borderId="15" xfId="0" applyNumberFormat="1" applyFont="1" applyFill="1" applyBorder="1" applyAlignment="1" applyProtection="1">
      <alignment/>
      <protection hidden="1"/>
    </xf>
    <xf numFmtId="3" fontId="5" fillId="20" borderId="0" xfId="0" applyNumberFormat="1" applyFont="1" applyFill="1" applyBorder="1" applyAlignment="1" applyProtection="1">
      <alignment/>
      <protection hidden="1"/>
    </xf>
    <xf numFmtId="3" fontId="5" fillId="20" borderId="15" xfId="0" applyNumberFormat="1" applyFont="1" applyFill="1" applyBorder="1" applyAlignment="1" applyProtection="1">
      <alignment/>
      <protection hidden="1"/>
    </xf>
    <xf numFmtId="188" fontId="0" fillId="20" borderId="0" xfId="0" applyFont="1" applyFill="1" applyAlignment="1" applyProtection="1">
      <alignment/>
      <protection hidden="1"/>
    </xf>
    <xf numFmtId="4" fontId="5" fillId="20" borderId="21" xfId="0" applyNumberFormat="1" applyFont="1" applyFill="1" applyBorder="1" applyAlignment="1" applyProtection="1">
      <alignment/>
      <protection hidden="1"/>
    </xf>
    <xf numFmtId="3" fontId="5" fillId="20" borderId="22" xfId="0" applyNumberFormat="1" applyFont="1" applyFill="1" applyBorder="1" applyAlignment="1" applyProtection="1">
      <alignment/>
      <protection hidden="1"/>
    </xf>
    <xf numFmtId="4" fontId="5" fillId="20" borderId="22" xfId="0" applyNumberFormat="1" applyFont="1" applyFill="1" applyBorder="1" applyAlignment="1" applyProtection="1">
      <alignment/>
      <protection hidden="1"/>
    </xf>
    <xf numFmtId="3" fontId="11" fillId="20" borderId="0" xfId="0" applyNumberFormat="1" applyFont="1" applyFill="1" applyBorder="1" applyAlignment="1" applyProtection="1">
      <alignment/>
      <protection hidden="1"/>
    </xf>
    <xf numFmtId="3" fontId="12" fillId="20" borderId="0" xfId="0" applyNumberFormat="1" applyFont="1" applyFill="1" applyAlignment="1" applyProtection="1">
      <alignment/>
      <protection hidden="1"/>
    </xf>
    <xf numFmtId="3" fontId="5" fillId="20" borderId="34" xfId="0" applyNumberFormat="1" applyFont="1" applyFill="1" applyBorder="1" applyAlignment="1" applyProtection="1">
      <alignment/>
      <protection hidden="1"/>
    </xf>
    <xf numFmtId="3" fontId="5" fillId="20" borderId="57" xfId="0" applyNumberFormat="1" applyFont="1" applyFill="1" applyBorder="1" applyAlignment="1" applyProtection="1">
      <alignment/>
      <protection hidden="1"/>
    </xf>
    <xf numFmtId="4" fontId="5" fillId="20" borderId="34" xfId="0" applyNumberFormat="1" applyFont="1" applyFill="1" applyBorder="1" applyAlignment="1" applyProtection="1">
      <alignment/>
      <protection hidden="1"/>
    </xf>
    <xf numFmtId="3" fontId="5" fillId="20" borderId="33" xfId="0" applyNumberFormat="1" applyFont="1" applyFill="1" applyBorder="1" applyAlignment="1" applyProtection="1">
      <alignment/>
      <protection hidden="1"/>
    </xf>
    <xf numFmtId="188" fontId="14" fillId="20" borderId="0" xfId="0" applyFont="1" applyFill="1" applyBorder="1" applyAlignment="1" applyProtection="1">
      <alignment horizontal="center"/>
      <protection hidden="1"/>
    </xf>
    <xf numFmtId="4" fontId="5" fillId="20" borderId="33" xfId="0" applyNumberFormat="1" applyFont="1" applyFill="1" applyBorder="1" applyAlignment="1" applyProtection="1">
      <alignment/>
      <protection hidden="1"/>
    </xf>
    <xf numFmtId="188" fontId="4" fillId="20" borderId="0" xfId="0" applyFont="1" applyFill="1" applyAlignment="1" applyProtection="1">
      <alignment/>
      <protection hidden="1"/>
    </xf>
    <xf numFmtId="3" fontId="5" fillId="20" borderId="0" xfId="0" applyNumberFormat="1" applyFont="1" applyFill="1" applyAlignment="1" applyProtection="1">
      <alignment/>
      <protection hidden="1"/>
    </xf>
    <xf numFmtId="4" fontId="4" fillId="20" borderId="0" xfId="0" applyNumberFormat="1" applyFont="1" applyFill="1" applyAlignment="1" applyProtection="1">
      <alignment/>
      <protection hidden="1"/>
    </xf>
    <xf numFmtId="3" fontId="5" fillId="20" borderId="0" xfId="0" applyNumberFormat="1" applyFont="1" applyFill="1" applyBorder="1" applyAlignment="1" applyProtection="1">
      <alignment/>
      <protection hidden="1"/>
    </xf>
    <xf numFmtId="3" fontId="5" fillId="20" borderId="40" xfId="0" applyNumberFormat="1" applyFont="1" applyFill="1" applyBorder="1" applyAlignment="1" applyProtection="1">
      <alignment/>
      <protection hidden="1"/>
    </xf>
    <xf numFmtId="4" fontId="5" fillId="20" borderId="40" xfId="0" applyNumberFormat="1" applyFont="1" applyFill="1" applyBorder="1" applyAlignment="1" applyProtection="1">
      <alignment/>
      <protection hidden="1"/>
    </xf>
    <xf numFmtId="188" fontId="13" fillId="20" borderId="0" xfId="0" applyFont="1" applyFill="1" applyBorder="1" applyAlignment="1" applyProtection="1">
      <alignment/>
      <protection hidden="1"/>
    </xf>
    <xf numFmtId="4" fontId="5" fillId="20" borderId="0" xfId="0" applyNumberFormat="1" applyFont="1" applyFill="1" applyBorder="1" applyAlignment="1" applyProtection="1">
      <alignment/>
      <protection hidden="1"/>
    </xf>
    <xf numFmtId="3" fontId="5" fillId="20" borderId="41" xfId="0" applyNumberFormat="1" applyFont="1" applyFill="1" applyBorder="1" applyAlignment="1" applyProtection="1">
      <alignment/>
      <protection hidden="1"/>
    </xf>
    <xf numFmtId="3" fontId="5" fillId="20" borderId="31" xfId="0" applyNumberFormat="1" applyFont="1" applyFill="1" applyBorder="1" applyAlignment="1" applyProtection="1">
      <alignment/>
      <protection hidden="1"/>
    </xf>
    <xf numFmtId="4" fontId="5" fillId="20" borderId="31" xfId="0" applyNumberFormat="1" applyFont="1" applyFill="1" applyBorder="1" applyAlignment="1" applyProtection="1">
      <alignment/>
      <protection hidden="1"/>
    </xf>
    <xf numFmtId="4" fontId="5" fillId="20" borderId="0" xfId="0" applyNumberFormat="1" applyFont="1" applyFill="1" applyAlignment="1" applyProtection="1">
      <alignment/>
      <protection hidden="1"/>
    </xf>
    <xf numFmtId="3" fontId="5" fillId="20" borderId="42" xfId="0" applyNumberFormat="1" applyFont="1" applyFill="1" applyBorder="1" applyAlignment="1" applyProtection="1">
      <alignment/>
      <protection hidden="1"/>
    </xf>
    <xf numFmtId="3" fontId="5" fillId="20" borderId="48" xfId="0" applyNumberFormat="1" applyFont="1" applyFill="1" applyBorder="1" applyAlignment="1" applyProtection="1">
      <alignment/>
      <protection hidden="1"/>
    </xf>
    <xf numFmtId="4" fontId="5" fillId="20" borderId="48" xfId="0" applyNumberFormat="1" applyFont="1" applyFill="1" applyBorder="1" applyAlignment="1" applyProtection="1">
      <alignment/>
      <protection hidden="1"/>
    </xf>
    <xf numFmtId="188" fontId="13" fillId="20" borderId="0" xfId="0" applyFont="1" applyFill="1" applyAlignment="1" applyProtection="1">
      <alignment/>
      <protection hidden="1" locked="0"/>
    </xf>
    <xf numFmtId="188" fontId="14" fillId="0" borderId="0" xfId="0" applyFont="1" applyAlignment="1" applyProtection="1">
      <alignment horizontal="center"/>
      <protection hidden="1" locked="0"/>
    </xf>
    <xf numFmtId="4" fontId="5" fillId="0" borderId="0" xfId="0" applyNumberFormat="1" applyFont="1" applyAlignment="1" applyProtection="1">
      <alignment/>
      <protection hidden="1"/>
    </xf>
    <xf numFmtId="188" fontId="14" fillId="0" borderId="15" xfId="0" applyFont="1" applyBorder="1" applyAlignment="1" applyProtection="1">
      <alignment horizontal="center"/>
      <protection/>
    </xf>
    <xf numFmtId="188" fontId="14" fillId="20" borderId="15" xfId="0" applyFont="1" applyFill="1" applyBorder="1" applyAlignment="1" applyProtection="1">
      <alignment horizontal="center"/>
      <protection/>
    </xf>
    <xf numFmtId="188" fontId="43" fillId="19" borderId="0" xfId="0" applyFont="1" applyFill="1" applyAlignment="1">
      <alignment horizontal="left"/>
    </xf>
    <xf numFmtId="188" fontId="44" fillId="19" borderId="0" xfId="0" applyFont="1" applyFill="1" applyAlignment="1">
      <alignment horizontal="left"/>
    </xf>
    <xf numFmtId="199" fontId="37" fillId="0" borderId="0" xfId="0" applyNumberFormat="1" applyFont="1" applyAlignment="1" applyProtection="1">
      <alignment horizontal="center"/>
      <protection locked="0"/>
    </xf>
    <xf numFmtId="4" fontId="6" fillId="0" borderId="21" xfId="0" applyNumberFormat="1" applyFont="1" applyBorder="1" applyAlignment="1" applyProtection="1">
      <alignment/>
      <protection/>
    </xf>
    <xf numFmtId="3" fontId="5" fillId="20" borderId="11" xfId="0" applyNumberFormat="1" applyFont="1" applyFill="1" applyBorder="1" applyAlignment="1" applyProtection="1">
      <alignment/>
      <protection hidden="1" locked="0"/>
    </xf>
    <xf numFmtId="3" fontId="46" fillId="0" borderId="58" xfId="0" applyNumberFormat="1" applyFont="1" applyFill="1" applyBorder="1" applyAlignment="1" applyProtection="1">
      <alignment vertical="center"/>
      <protection hidden="1"/>
    </xf>
    <xf numFmtId="4" fontId="47" fillId="19" borderId="0" xfId="0" applyNumberFormat="1" applyFont="1" applyFill="1" applyAlignment="1">
      <alignment/>
    </xf>
    <xf numFmtId="188" fontId="5" fillId="10" borderId="0" xfId="0" applyFont="1" applyFill="1" applyAlignment="1">
      <alignment/>
    </xf>
    <xf numFmtId="188" fontId="22" fillId="10" borderId="0" xfId="0" applyFont="1" applyFill="1" applyAlignment="1">
      <alignment/>
    </xf>
    <xf numFmtId="188" fontId="40" fillId="20" borderId="0" xfId="0" applyFont="1" applyFill="1" applyAlignment="1">
      <alignment/>
    </xf>
    <xf numFmtId="188" fontId="47" fillId="19" borderId="0" xfId="0" applyFont="1" applyFill="1" applyAlignment="1">
      <alignment/>
    </xf>
    <xf numFmtId="188" fontId="5" fillId="10" borderId="0" xfId="0" applyFont="1" applyFill="1" applyAlignment="1">
      <alignment/>
    </xf>
    <xf numFmtId="188" fontId="4" fillId="0" borderId="0" xfId="0" applyFont="1" applyAlignment="1" applyProtection="1">
      <alignment/>
      <protection hidden="1"/>
    </xf>
    <xf numFmtId="188" fontId="4" fillId="0" borderId="0" xfId="0" applyFont="1" applyAlignment="1" applyProtection="1">
      <alignment/>
      <protection/>
    </xf>
    <xf numFmtId="188" fontId="23" fillId="0" borderId="0" xfId="0" applyFont="1" applyAlignment="1" applyProtection="1">
      <alignment/>
      <protection/>
    </xf>
    <xf numFmtId="188" fontId="0" fillId="0" borderId="0" xfId="0" applyAlignment="1" applyProtection="1">
      <alignment/>
      <protection/>
    </xf>
    <xf numFmtId="188" fontId="48" fillId="0" borderId="0" xfId="0" applyFont="1" applyAlignment="1" applyProtection="1">
      <alignment/>
      <protection/>
    </xf>
    <xf numFmtId="188" fontId="26" fillId="0" borderId="0" xfId="0" applyFont="1" applyAlignment="1" applyProtection="1">
      <alignment/>
      <protection hidden="1"/>
    </xf>
    <xf numFmtId="188" fontId="34" fillId="0" borderId="0" xfId="0" applyFont="1" applyAlignment="1" applyProtection="1">
      <alignment/>
      <protection/>
    </xf>
    <xf numFmtId="188" fontId="34" fillId="0" borderId="0" xfId="0" applyFont="1" applyAlignment="1" applyProtection="1">
      <alignment horizontal="right"/>
      <protection/>
    </xf>
    <xf numFmtId="188" fontId="34" fillId="0" borderId="0" xfId="0" applyFont="1" applyAlignment="1" applyProtection="1">
      <alignment horizontal="left"/>
      <protection hidden="1"/>
    </xf>
    <xf numFmtId="205" fontId="5" fillId="0" borderId="15" xfId="43" applyNumberFormat="1" applyFont="1" applyFill="1" applyBorder="1" applyAlignment="1" applyProtection="1">
      <alignment horizontal="left"/>
      <protection/>
    </xf>
    <xf numFmtId="188" fontId="5" fillId="0" borderId="10" xfId="0" applyFont="1" applyBorder="1" applyAlignment="1">
      <alignment/>
    </xf>
    <xf numFmtId="49" fontId="5" fillId="0" borderId="10" xfId="0" applyNumberFormat="1" applyFont="1" applyBorder="1" applyAlignment="1">
      <alignment/>
    </xf>
    <xf numFmtId="188" fontId="49" fillId="19" borderId="0" xfId="0" applyFont="1" applyFill="1" applyAlignment="1">
      <alignment horizontal="left"/>
    </xf>
    <xf numFmtId="200" fontId="13" fillId="0" borderId="37" xfId="0" applyNumberFormat="1" applyFont="1" applyBorder="1" applyAlignment="1" applyProtection="1">
      <alignment horizontal="left"/>
      <protection/>
    </xf>
    <xf numFmtId="188" fontId="12" fillId="0" borderId="12" xfId="0" applyFont="1" applyBorder="1" applyAlignment="1">
      <alignment horizontal="center" wrapText="1"/>
    </xf>
    <xf numFmtId="188" fontId="12" fillId="0" borderId="28" xfId="0" applyFont="1" applyBorder="1" applyAlignment="1">
      <alignment horizontal="center" wrapText="1"/>
    </xf>
    <xf numFmtId="188" fontId="16" fillId="0" borderId="0" xfId="0" applyFont="1" applyBorder="1" applyAlignment="1" applyProtection="1">
      <alignment/>
      <protection locked="0"/>
    </xf>
    <xf numFmtId="188" fontId="24" fillId="0" borderId="0" xfId="0" applyFont="1" applyAlignment="1" applyProtection="1">
      <alignment/>
      <protection locked="0"/>
    </xf>
    <xf numFmtId="3" fontId="1" fillId="0" borderId="59" xfId="0" applyNumberFormat="1" applyFont="1" applyBorder="1" applyAlignment="1" applyProtection="1">
      <alignment horizontal="center" vertical="center" shrinkToFit="1"/>
      <protection hidden="1"/>
    </xf>
    <xf numFmtId="188" fontId="0" fillId="0" borderId="60" xfId="0" applyBorder="1" applyAlignment="1" applyProtection="1">
      <alignment horizontal="center" vertical="center" shrinkToFit="1"/>
      <protection hidden="1"/>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Ark1 (3)"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dxfs count="5">
    <dxf>
      <fill>
        <patternFill>
          <bgColor indexed="11"/>
        </patternFill>
      </fill>
    </dxf>
    <dxf>
      <font>
        <b/>
        <i val="0"/>
        <color auto="1"/>
      </font>
      <fill>
        <patternFill patternType="solid">
          <bgColor indexed="5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6724650" cy="19754850"/>
    <xdr:sp>
      <xdr:nvSpPr>
        <xdr:cNvPr id="1" name="Tekst 1"/>
        <xdr:cNvSpPr txBox="1">
          <a:spLocks noChangeArrowheads="1"/>
        </xdr:cNvSpPr>
      </xdr:nvSpPr>
      <xdr:spPr>
        <a:xfrm>
          <a:off x="9525" y="9525"/>
          <a:ext cx="6724650" cy="19754850"/>
        </a:xfrm>
        <a:prstGeom prst="rect">
          <a:avLst/>
        </a:prstGeom>
        <a:solidFill>
          <a:srgbClr val="FFFF00"/>
        </a:solidFill>
        <a:ln w="1" cmpd="sng">
          <a:solidFill>
            <a:srgbClr val="FFFFFF"/>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LES DETTE!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Dette er er versjon 8 av kalkyleskjema for audiovisuelle produksjoner slik det er fastlagt for bruk av Norsk filminstitutt. 
</a:t>
          </a:r>
          <a:r>
            <a:rPr lang="en-US" cap="none" sz="1000" b="0" i="0" u="none" baseline="0">
              <a:solidFill>
                <a:srgbClr val="000000"/>
              </a:solidFill>
              <a:latin typeface="Arial"/>
              <a:ea typeface="Arial"/>
              <a:cs typeface="Arial"/>
            </a:rPr>
            <a:t>I forhold til tidligere er det lagt inn funksjoner for kostnadsoppfølging og statusrapportering.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 vil kunne skje mindre oppdateringer/feilrettinger, så sjekk jevnlig på filminstituttets nettsider for evt. nye versjoner. 
</a:t>
          </a:r>
          <a:r>
            <a:rPr lang="en-US" cap="none" sz="1000" b="0" i="0" u="none" baseline="0">
              <a:solidFill>
                <a:srgbClr val="000000"/>
              </a:solidFill>
              <a:latin typeface="Arial"/>
              <a:ea typeface="Arial"/>
              <a:cs typeface="Arial"/>
            </a:rPr>
            <a:t>
</a:t>
          </a:r>
          <a:r>
            <a:rPr lang="en-US" cap="none" sz="1150" b="1" i="0" u="none" baseline="0">
              <a:solidFill>
                <a:srgbClr val="000000"/>
              </a:solidFill>
              <a:latin typeface="Arial"/>
              <a:ea typeface="Arial"/>
              <a:cs typeface="Arial"/>
            </a:rPr>
            <a:t>NB!</a:t>
          </a:r>
          <a:r>
            <a:rPr lang="en-US" cap="none" sz="1000" b="0" i="0" u="none" baseline="0">
              <a:solidFill>
                <a:srgbClr val="000000"/>
              </a:solidFill>
              <a:latin typeface="Arial"/>
              <a:ea typeface="Arial"/>
              <a:cs typeface="Arial"/>
            </a:rPr>
            <a:t> </a:t>
          </a:r>
          <a:r>
            <a:rPr lang="en-US" cap="none" sz="1150" b="1" i="0" u="none" baseline="0">
              <a:solidFill>
                <a:srgbClr val="000000"/>
              </a:solidFill>
              <a:latin typeface="Arial"/>
              <a:ea typeface="Arial"/>
              <a:cs typeface="Arial"/>
            </a:rPr>
            <a:t>All bruk skjer på eget ansvar, Norsk filminstitutt er ikke ansvarlig for eventuelle beregningsfeil.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Kontoplanens oppbygging er basert på 2 hovedprinsipper: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Faseinndeling</a:t>
          </a:r>
          <a:r>
            <a:rPr lang="en-US" cap="none" sz="1000" b="0" i="0" u="none" baseline="0">
              <a:solidFill>
                <a:srgbClr val="000000"/>
              </a:solidFill>
              <a:latin typeface="Arial"/>
              <a:ea typeface="Arial"/>
              <a:cs typeface="Arial"/>
            </a:rPr>
            <a:t>, slik at kostnader innenfor prosjektets faser kan isoleres og gi en bedre inntrykk av status i forhold til framdrift.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t>
          </a:r>
          <a:r>
            <a:rPr lang="en-US" cap="none" sz="1000" b="1" i="0" u="none" baseline="0">
              <a:solidFill>
                <a:srgbClr val="000000"/>
              </a:solidFill>
              <a:latin typeface="Arial"/>
              <a:ea typeface="Arial"/>
              <a:cs typeface="Arial"/>
            </a:rPr>
            <a:t>Avdelingsinndeling</a:t>
          </a:r>
          <a:r>
            <a:rPr lang="en-US" cap="none" sz="1000" b="0" i="0" u="none" baseline="0">
              <a:solidFill>
                <a:srgbClr val="000000"/>
              </a:solidFill>
              <a:latin typeface="Arial"/>
              <a:ea typeface="Arial"/>
              <a:cs typeface="Arial"/>
            </a:rPr>
            <a:t>, som vil være et redskap for å forsterke den enkelte fagsjefs økonomiansvar.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 enkelte prosjektkonto er todimensjonal; den består av hovedkontogruppe + konto. 
</a:t>
          </a:r>
          <a:r>
            <a:rPr lang="en-US" cap="none" sz="1000" b="0" i="0" u="none" baseline="0">
              <a:solidFill>
                <a:srgbClr val="000000"/>
              </a:solidFill>
              <a:latin typeface="Arial"/>
              <a:ea typeface="Arial"/>
              <a:cs typeface="Arial"/>
            </a:rPr>
            <a:t>I et regnskapssystem som opererer med flere dimensjoner, vil det i prinsippet være mulig å kombinere alle hovedkontogrupper med alle kontiene. Dette er selvfølgelig lite relevant, og det utarbeidete forslag til kalkyleskjema reflekterer de koblinger som anses som mest aktuelle.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Beregningene skjer som følger:
</a:t>
          </a:r>
          <a:r>
            <a:rPr lang="en-US" cap="none" sz="1000" b="0" i="0" u="none" baseline="0">
              <a:solidFill>
                <a:srgbClr val="000000"/>
              </a:solidFill>
              <a:latin typeface="Arial"/>
              <a:ea typeface="Arial"/>
              <a:cs typeface="Arial"/>
            </a:rPr>
            <a:t>Ved å legge inn et beløp i kolonnen</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Sats</a:t>
          </a:r>
          <a:r>
            <a:rPr lang="en-US" cap="none" sz="1000" b="0" i="0" u="none" baseline="0">
              <a:solidFill>
                <a:srgbClr val="000000"/>
              </a:solidFill>
              <a:latin typeface="Arial"/>
              <a:ea typeface="Arial"/>
              <a:cs typeface="Arial"/>
            </a:rPr>
            <a:t>, forutsettes automatisk at </a:t>
          </a:r>
          <a:r>
            <a:rPr lang="en-US" cap="none" sz="1000" b="1" i="1" u="none" baseline="0">
              <a:solidFill>
                <a:srgbClr val="000000"/>
              </a:solidFill>
              <a:latin typeface="Arial"/>
              <a:ea typeface="Arial"/>
              <a:cs typeface="Arial"/>
            </a:rPr>
            <a:t>Mengde</a:t>
          </a:r>
          <a:r>
            <a:rPr lang="en-US" cap="none" sz="1000" b="0" i="0" u="none" baseline="0">
              <a:solidFill>
                <a:srgbClr val="000000"/>
              </a:solidFill>
              <a:latin typeface="Arial"/>
              <a:ea typeface="Arial"/>
              <a:cs typeface="Arial"/>
            </a:rPr>
            <a:t> og</a:t>
          </a:r>
          <a:r>
            <a:rPr lang="en-US" cap="none" sz="1000" b="1" i="1" u="none" baseline="0">
              <a:solidFill>
                <a:srgbClr val="000000"/>
              </a:solidFill>
              <a:latin typeface="Arial"/>
              <a:ea typeface="Arial"/>
              <a:cs typeface="Arial"/>
            </a:rPr>
            <a:t> x</a:t>
          </a:r>
          <a:r>
            <a:rPr lang="en-US" cap="none" sz="1000" b="0" i="0" u="none" baseline="0">
              <a:solidFill>
                <a:srgbClr val="000000"/>
              </a:solidFill>
              <a:latin typeface="Arial"/>
              <a:ea typeface="Arial"/>
              <a:cs typeface="Arial"/>
            </a:rPr>
            <a:t> er lik 1 hvis det ikke er lagt inn annen verdi, slik at linjetotalen beregnes ut fra dette.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Feltet</a:t>
          </a:r>
          <a:r>
            <a:rPr lang="en-US" cap="none" sz="1000" b="1" i="1" u="none" baseline="0">
              <a:solidFill>
                <a:srgbClr val="000000"/>
              </a:solidFill>
              <a:latin typeface="Arial"/>
              <a:ea typeface="Arial"/>
              <a:cs typeface="Arial"/>
            </a:rPr>
            <a:t> x </a:t>
          </a:r>
          <a:r>
            <a:rPr lang="en-US" cap="none" sz="1000" b="0" i="0" u="none" baseline="0">
              <a:solidFill>
                <a:srgbClr val="000000"/>
              </a:solidFill>
              <a:latin typeface="Arial"/>
              <a:ea typeface="Arial"/>
              <a:cs typeface="Arial"/>
            </a:rPr>
            <a:t>er et multiplikatorfelt som kan benyttes på flere måter: 
</a:t>
          </a:r>
          <a:r>
            <a:rPr lang="en-US" cap="none" sz="1000" b="0" i="0" u="none" baseline="0">
              <a:solidFill>
                <a:srgbClr val="000000"/>
              </a:solidFill>
              <a:latin typeface="Arial"/>
              <a:ea typeface="Arial"/>
              <a:cs typeface="Arial"/>
            </a:rPr>
            <a:t>Noen ganger vil det være aktuelt å ha flere faktorer, f. eks. ved beregning av diett: 20 stk. i 15 dager a kr. 450.
</a:t>
          </a:r>
          <a:r>
            <a:rPr lang="en-US" cap="none" sz="1000" b="0" i="0" u="none" baseline="0">
              <a:solidFill>
                <a:srgbClr val="000000"/>
              </a:solidFill>
              <a:latin typeface="Arial"/>
              <a:ea typeface="Arial"/>
              <a:cs typeface="Arial"/>
            </a:rPr>
            <a:t>Det kan også benyttes til rabattsatser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VALUTA
</a:t>
          </a:r>
          <a:r>
            <a:rPr lang="en-US" cap="none" sz="1000" b="0" i="0" u="none" baseline="0">
              <a:solidFill>
                <a:srgbClr val="000000"/>
              </a:solidFill>
              <a:latin typeface="Arial"/>
              <a:ea typeface="Arial"/>
              <a:cs typeface="Arial"/>
            </a:rPr>
            <a:t>De mest aktuelle valutaene er definert under </a:t>
          </a:r>
          <a:r>
            <a:rPr lang="en-US" cap="none" sz="1000" b="0" i="1" u="none" baseline="0">
              <a:solidFill>
                <a:srgbClr val="000000"/>
              </a:solidFill>
              <a:latin typeface="Arial"/>
              <a:ea typeface="Arial"/>
              <a:cs typeface="Arial"/>
            </a:rPr>
            <a:t>FORUTSETNINGER.</a:t>
          </a:r>
          <a:r>
            <a:rPr lang="en-US" cap="none" sz="1000" b="0" i="0" u="none" baseline="0">
              <a:solidFill>
                <a:srgbClr val="000000"/>
              </a:solidFill>
              <a:latin typeface="Arial"/>
              <a:ea typeface="Arial"/>
              <a:cs typeface="Arial"/>
            </a:rPr>
            <a:t> Ved å skrive inn  "=" og benevnelsen på valutaen i multplikatorfeltet, f. eks "=EURO", vil man få kalkulert beløpet til kroner.
</a:t>
          </a:r>
          <a:r>
            <a:rPr lang="en-US" cap="none" sz="1000" b="0" i="0" u="none" baseline="0">
              <a:solidFill>
                <a:srgbClr val="000000"/>
              </a:solidFill>
              <a:latin typeface="Arial"/>
              <a:ea typeface="Arial"/>
              <a:cs typeface="Arial"/>
            </a:rPr>
            <a:t>Ved valutaendringer vil man på denne måten kunne omberegne alle konti hvor metoden er benyttet ved å endre kursen i  arket </a:t>
          </a:r>
          <a:r>
            <a:rPr lang="en-US" cap="none" sz="1000" b="0" i="1" u="none" baseline="0">
              <a:solidFill>
                <a:srgbClr val="000000"/>
              </a:solidFill>
              <a:latin typeface="Arial"/>
              <a:ea typeface="Arial"/>
              <a:cs typeface="Arial"/>
            </a:rPr>
            <a:t>FORUTSETNINGER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SOSIALE UTGIFTER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Kolonnen for sosiale utgifter beregnes ut fra en generell prosentsats som er definert og kan endres i </a:t>
          </a:r>
          <a:r>
            <a:rPr lang="en-US" cap="none" sz="1000" b="0" i="1" u="none" baseline="0">
              <a:solidFill>
                <a:srgbClr val="000000"/>
              </a:solidFill>
              <a:latin typeface="Arial"/>
              <a:ea typeface="Arial"/>
              <a:cs typeface="Arial"/>
            </a:rPr>
            <a:t>FORUTSETNINGER</a:t>
          </a:r>
          <a:r>
            <a:rPr lang="en-US" cap="none" sz="1000" b="0" i="0" u="none" baseline="0">
              <a:solidFill>
                <a:srgbClr val="000000"/>
              </a:solidFill>
              <a:latin typeface="Arial"/>
              <a:ea typeface="Arial"/>
              <a:cs typeface="Arial"/>
            </a:rPr>
            <a:t>. Beregningen skjer automatisk når det er lagt inn et beløp på en konto. Det er imidlertid mulig å legge inn egen sats (for arbeidtakere fra områder med lavere sats) evt. slette der det er nødvendig. Satsen skrives inn som heltall, f. eks. 26.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OVERTID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Beregning av overtid er lagt inn som prosentsats, slik at ved å legge inn den aktuelle satsen i kolonnen for mengde, beregnes overtiden automatisk som % av summen i linjen over. I </a:t>
          </a:r>
          <a:r>
            <a:rPr lang="en-US" cap="none" sz="1000" b="0" i="1" u="none" baseline="0">
              <a:solidFill>
                <a:srgbClr val="000000"/>
              </a:solidFill>
              <a:latin typeface="Arial"/>
              <a:ea typeface="Arial"/>
              <a:cs typeface="Arial"/>
            </a:rPr>
            <a:t>OM OVERTID</a:t>
          </a:r>
          <a:r>
            <a:rPr lang="en-US" cap="none" sz="1000" b="0" i="0" u="none" baseline="0">
              <a:solidFill>
                <a:srgbClr val="000000"/>
              </a:solidFill>
              <a:latin typeface="Arial"/>
              <a:ea typeface="Arial"/>
              <a:cs typeface="Arial"/>
            </a:rPr>
            <a:t> er det lagt inn en tabell som viser prosentsatsene i forhold til antatt gjennomsnittlig daglig overtid.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FORKLARENDE TEKST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 kan legges inn en forklarende tekst i kolonnen  etter kontobenevnelsen.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Kontogruppetotalene overføres automatisk til sammendraget.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Ved å klikke på knappen for</a:t>
          </a:r>
          <a:r>
            <a:rPr lang="en-US" cap="none" sz="1000" b="1" i="0" u="none" baseline="0">
              <a:solidFill>
                <a:srgbClr val="000000"/>
              </a:solidFill>
              <a:latin typeface="Arial"/>
              <a:ea typeface="Arial"/>
              <a:cs typeface="Arial"/>
            </a:rPr>
            <a:t> Skjul tomme konti </a:t>
          </a:r>
          <a:r>
            <a:rPr lang="en-US" cap="none" sz="1000" b="0" i="0" u="none" baseline="0">
              <a:solidFill>
                <a:srgbClr val="000000"/>
              </a:solidFill>
              <a:latin typeface="Arial"/>
              <a:ea typeface="Arial"/>
              <a:cs typeface="Arial"/>
            </a:rPr>
            <a:t>skjules alle tomme konti. Ved å trykke på den samme knappen igjen vises alle konti.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MVA</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Fradragsberettiget MVA</a:t>
          </a:r>
          <a:r>
            <a:rPr lang="en-US" cap="none" sz="1000" b="0" i="0" u="none" baseline="0">
              <a:solidFill>
                <a:srgbClr val="000000"/>
              </a:solidFill>
              <a:latin typeface="Arial"/>
              <a:ea typeface="Arial"/>
              <a:cs typeface="Arial"/>
            </a:rPr>
            <a:t> blir ikke en del av filmens kostnad, da den i etterkant vil bli refundert. Det er imidlertid viktig å ha oversikt over den MVA som jo må betales ved kjøp av varer og tjenester da det kan ta opptil 4 måneder fra kjøpsdato til man får refusjon. Dette blir derfor viktig for likviditetstyringen.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 er viktig å skille mellom fradragsberettiget og ikke fradragsberettiget MVA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Fradragsberettiget er den moms du må betale ved kjøp, men som MVA registrert vil få refundert senere.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 finnes visse former for MVA som IKKE er fradragsberettiget, og som derfor blir en del av filmens kostnader.
</a:t>
          </a:r>
          <a:r>
            <a:rPr lang="en-US" cap="none" sz="1000" b="0" i="0" u="none" baseline="0">
              <a:solidFill>
                <a:srgbClr val="000000"/>
              </a:solidFill>
              <a:latin typeface="Arial"/>
              <a:ea typeface="Arial"/>
              <a:cs typeface="Arial"/>
            </a:rPr>
            <a:t>Det er ditt ansvar sammen med regnskapsfører og sette seg inn i reglene som til enhver tid gjelder for dette.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Eksempler på hva som </a:t>
          </a:r>
          <a:r>
            <a:rPr lang="en-US" cap="none" sz="1000" b="0" i="0" u="sng" baseline="0">
              <a:solidFill>
                <a:srgbClr val="000000"/>
              </a:solidFill>
              <a:latin typeface="Arial"/>
              <a:ea typeface="Arial"/>
              <a:cs typeface="Arial"/>
            </a:rPr>
            <a:t>ikke</a:t>
          </a:r>
          <a:r>
            <a:rPr lang="en-US" cap="none" sz="1000" b="0" i="0" u="none" baseline="0">
              <a:solidFill>
                <a:srgbClr val="000000"/>
              </a:solidFill>
              <a:latin typeface="Arial"/>
              <a:ea typeface="Arial"/>
              <a:cs typeface="Arial"/>
            </a:rPr>
            <a:t> er fradragsberettiget i øyeblikket er:
</a:t>
          </a:r>
          <a:r>
            <a:rPr lang="en-US" cap="none" sz="1000" b="0" i="0" u="none" baseline="0">
              <a:solidFill>
                <a:srgbClr val="000000"/>
              </a:solidFill>
              <a:latin typeface="Arial"/>
              <a:ea typeface="Arial"/>
              <a:cs typeface="Arial"/>
            </a:rPr>
            <a:t>- Kostnader til bespisning av ansatte og kostnader forbundet med dette; matinnkjøp, cateringsleveranser, cateringsutstyr etc.
</a:t>
          </a:r>
          <a:r>
            <a:rPr lang="en-US" cap="none" sz="1000" b="0" i="0" u="none" baseline="0">
              <a:solidFill>
                <a:srgbClr val="000000"/>
              </a:solidFill>
              <a:latin typeface="Arial"/>
              <a:ea typeface="Arial"/>
              <a:cs typeface="Arial"/>
            </a:rPr>
            <a:t>- Biler som primært er til persontransport, og driftskostnader for disse, dvs. bensin, bompenger, ferge, rekvisita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å få fradrag må MVA være spesifisert på regningen/fakturaen.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å få beregnet fradragsberettiget MVA, må det krysses av ruten til venstre for MVA kolonnen.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 MVA SOM BEREGNES HER ER ALTSÅ IKKE EN DEL AV FILMENS KOSTNADER, OG INNGÅR IKKE I KALKYLETOTALEN.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Beregningen av MVA blir omtrentlig, (på noen konti kan det jo være både fradragsberettiget og ikke fradragsberettiget MVA), men dette vil likevel gi en oversikt som er god nok for likviditetsplanen)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Gjeldende standard MVA sats er lagt inn (og kan endres) i arket FORUTSETNINGER. 
</a:t>
          </a:r>
          <a:r>
            <a:rPr lang="en-US" cap="none" sz="1000" b="0" i="0" u="none" baseline="0">
              <a:solidFill>
                <a:srgbClr val="000000"/>
              </a:solidFill>
              <a:latin typeface="Arial"/>
              <a:ea typeface="Arial"/>
              <a:cs typeface="Arial"/>
            </a:rPr>
            <a:t>Det er også lagt inn en lav MVA sats som gjelder for persontransport, og som automatisk benyttes for denne konti på spesifikasjonarket under reiser/transport.
</a:t>
          </a:r>
          <a:r>
            <a:rPr lang="en-US" cap="none" sz="1000" b="0" i="0" u="none" baseline="0">
              <a:solidFill>
                <a:srgbClr val="000000"/>
              </a:solidFill>
              <a:latin typeface="Arial"/>
              <a:ea typeface="Arial"/>
              <a:cs typeface="Arial"/>
            </a:rPr>
            <a:t>Det er videre en egen lav sats for matvarer, men dette vedrører kostnader som normalt ikke er fradragsberettiget, og har derfor normalt ingen relevans for filmkalkyler.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SLUTTKOSTNADSESTIMAT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å følge opp kostnadsutviklingen på prosjektet, er det lagt opp til eget ark for sluttkostnadsestimat. Når kalkylen
</a:t>
          </a:r>
          <a:r>
            <a:rPr lang="en-US" cap="none" sz="1000" b="0" i="0" u="none" baseline="0">
              <a:solidFill>
                <a:srgbClr val="000000"/>
              </a:solidFill>
              <a:latin typeface="Arial"/>
              <a:ea typeface="Arial"/>
              <a:cs typeface="Arial"/>
            </a:rPr>
            <a:t>er godkjent (finansiert), kopieres all informasjon over i sluttkostnadsestimatet ved å trykke på dertil egnet knapp. Vær klar over at all informasjon i kalkylen vil bli kopiert over, og dermed vil overskrive informasjon som eventuelt vil være lagt inn i estimatet.
</a:t>
          </a:r>
          <a:r>
            <a:rPr lang="en-US" cap="none" sz="1000" b="0" i="0" u="none" baseline="0">
              <a:solidFill>
                <a:srgbClr val="000000"/>
              </a:solidFill>
              <a:latin typeface="Arial"/>
              <a:ea typeface="Arial"/>
              <a:cs typeface="Arial"/>
            </a:rPr>
            <a:t>I estimatet korrigeres alle forutsetninger i henhold til realitetene man kjenner. F. eks., når det er gjort avtaler eller prisforhandlinger, korrigeres kalkyletallene med den kostnadene som blir resultat av avtalen. På denne måten vil estimatet hele tiden gi et så godt bilde som mulig på prosjektets sluttkostnad. For å unngå sammenblanding med kalkylen, er bakgrunnsfargen på estimatet merket med blått.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BOKFØRTE KOSTNADER
</a:t>
          </a:r>
          <a:r>
            <a:rPr lang="en-US" cap="none" sz="1000" b="0" i="0" u="none" baseline="0">
              <a:solidFill>
                <a:srgbClr val="000000"/>
              </a:solidFill>
              <a:latin typeface="Arial"/>
              <a:ea typeface="Arial"/>
              <a:cs typeface="Arial"/>
            </a:rPr>
            <a:t>Bokførte kostnader føres på eget ark. Før man setter inn tall for en ny regnskapsperiode, vil man ved å trykke på knappen "resett bokført" få overført forrige periode til en egen kolonne, og bevegelser fra siste periode vil framkomme utenfor hver konto.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Sammenstilling av alle tall fra kalkyle, estimat og bokførte kostnader med avviksberegning samles på arket BOKFØRT.
</a:t>
          </a:r>
          <a:r>
            <a:rPr lang="en-US" cap="none" sz="1000" b="0" i="0" u="none" baseline="0">
              <a:solidFill>
                <a:srgbClr val="000000"/>
              </a:solidFill>
              <a:latin typeface="Arial"/>
              <a:ea typeface="Arial"/>
              <a:cs typeface="Arial"/>
            </a:rPr>
            <a:t>Det er viktig å avtale faste rutiner med regnskapsansvarlig for innlegging av bokførte kostnader slik at all informasjon samles i det samme dokumentet.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UTSKRIFT
</a:t>
          </a:r>
          <a:r>
            <a:rPr lang="en-US" cap="none" sz="1000" b="1" i="0" u="none" baseline="0">
              <a:solidFill>
                <a:srgbClr val="000000"/>
              </a:solidFill>
              <a:latin typeface="Arial"/>
              <a:ea typeface="Arial"/>
              <a:cs typeface="Arial"/>
            </a:rPr>
            <a:t>Det anbefales å bruke utskriftknappene for utskrift.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Ved å dobbeltklikke på knappen for </a:t>
          </a:r>
          <a:r>
            <a:rPr lang="en-US" cap="none" sz="1000" b="1" i="0" u="none" baseline="0">
              <a:solidFill>
                <a:srgbClr val="000000"/>
              </a:solidFill>
              <a:latin typeface="Arial"/>
              <a:ea typeface="Arial"/>
              <a:cs typeface="Arial"/>
            </a:rPr>
            <a:t>Utskrift av viste konti</a:t>
          </a:r>
          <a:r>
            <a:rPr lang="en-US" cap="none" sz="1000" b="0" i="0" u="none" baseline="0">
              <a:solidFill>
                <a:srgbClr val="000000"/>
              </a:solidFill>
              <a:latin typeface="Arial"/>
              <a:ea typeface="Arial"/>
              <a:cs typeface="Arial"/>
            </a:rPr>
            <a:t>  får du opp en valgboks hvor du i tillegg til kalkylen kan velge å skrive ut forside, sammendrag og forutsetninger. Kalkylen skrives ut fortløpende, dvs. uten sideskift for hver kontogruppe. Kalkylen (og sammendraget) skrives ut slik som den står på skjermen. Har du valgt ikke å vise MVA- kolonnen, kommer den heller ikke med på utskriften, det samme gjelder for tomme konti. Spesifikasjonene til Reiser/transport skrives automatisk ut hvis de er i bruk.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Ved å velge en gruppe i rullefeltet </a:t>
          </a:r>
          <a:r>
            <a:rPr lang="en-US" cap="none" sz="1000" b="1" i="0" u="none" baseline="0">
              <a:solidFill>
                <a:srgbClr val="000000"/>
              </a:solidFill>
              <a:latin typeface="Arial"/>
              <a:ea typeface="Arial"/>
              <a:cs typeface="Arial"/>
            </a:rPr>
            <a:t>Skriv ut kontogruppe</a:t>
          </a:r>
          <a:r>
            <a:rPr lang="en-US" cap="none" sz="1000" b="0" i="0" u="none" baseline="0">
              <a:solidFill>
                <a:srgbClr val="000000"/>
              </a:solidFill>
              <a:latin typeface="Arial"/>
              <a:ea typeface="Arial"/>
              <a:cs typeface="Arial"/>
            </a:rPr>
            <a:t> og deretter trykker på knappen, vil man få den valgte kontogruppen, forsiden, sammendraget eller forutsetningene skrevet 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Ved å trykke på pilen i </a:t>
          </a:r>
          <a:r>
            <a:rPr lang="en-US" cap="none" sz="1000" b="1" i="0" u="none" baseline="0">
              <a:solidFill>
                <a:srgbClr val="000000"/>
              </a:solidFill>
              <a:latin typeface="Arial"/>
              <a:ea typeface="Arial"/>
              <a:cs typeface="Arial"/>
            </a:rPr>
            <a:t>Gå til kontogruppe</a:t>
          </a:r>
          <a:r>
            <a:rPr lang="en-US" cap="none" sz="1000" b="0" i="0" u="none" baseline="0">
              <a:solidFill>
                <a:srgbClr val="000000"/>
              </a:solidFill>
              <a:latin typeface="Arial"/>
              <a:ea typeface="Arial"/>
              <a:cs typeface="Arial"/>
            </a:rPr>
            <a:t> kan man lett navigere seg gjennom kalkylen.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Følgende eksempel viser med </a:t>
          </a:r>
          <a:r>
            <a:rPr lang="en-US" cap="none" sz="1000" b="0" i="0" u="none" baseline="0">
              <a:solidFill>
                <a:srgbClr val="0000FF"/>
              </a:solidFill>
              <a:latin typeface="Arial"/>
              <a:ea typeface="Arial"/>
              <a:cs typeface="Arial"/>
            </a:rPr>
            <a:t>blått</a:t>
          </a:r>
          <a:r>
            <a:rPr lang="en-US" cap="none" sz="1000" b="0" i="0" u="none" baseline="0">
              <a:solidFill>
                <a:srgbClr val="000000"/>
              </a:solidFill>
              <a:latin typeface="Arial"/>
              <a:ea typeface="Arial"/>
              <a:cs typeface="Arial"/>
            </a:rPr>
            <a:t> hvor det kan legges in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1">
    <pageSetUpPr fitToPage="1"/>
  </sheetPr>
  <dimension ref="A58:L127"/>
  <sheetViews>
    <sheetView showGridLines="0" showRowColHeaders="0" showZeros="0" showOutlineSymbols="0" workbookViewId="0" topLeftCell="A1">
      <selection activeCell="O12" sqref="O12"/>
    </sheetView>
  </sheetViews>
  <sheetFormatPr defaultColWidth="11.421875" defaultRowHeight="12.75"/>
  <cols>
    <col min="1" max="1" width="6.421875" style="25" customWidth="1"/>
    <col min="2" max="2" width="23.140625" style="18" customWidth="1"/>
    <col min="3" max="3" width="17.8515625" style="18" customWidth="1"/>
    <col min="4" max="4" width="7.8515625" style="18" customWidth="1"/>
    <col min="5" max="5" width="4.8515625" style="18" customWidth="1"/>
    <col min="6" max="7" width="7.8515625" style="18" customWidth="1"/>
    <col min="8" max="8" width="3.7109375" style="18" customWidth="1"/>
    <col min="9" max="9" width="7.421875" style="18" customWidth="1"/>
    <col min="10" max="10" width="3.00390625" style="18" customWidth="1"/>
    <col min="11" max="11" width="1.7109375" style="361" customWidth="1"/>
    <col min="12" max="12" width="9.140625" style="18" customWidth="1"/>
    <col min="13" max="16384" width="11.421875" style="18"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c r="A58" s="18"/>
    </row>
    <row r="59" ht="12.75">
      <c r="A59" s="18"/>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spans="1:12" s="1" customFormat="1" ht="12.75" customHeight="1">
      <c r="A123" s="112"/>
      <c r="B123" s="113"/>
      <c r="C123" s="114"/>
      <c r="D123" s="115" t="s">
        <v>422</v>
      </c>
      <c r="E123" s="116" t="s">
        <v>423</v>
      </c>
      <c r="F123" s="115" t="s">
        <v>424</v>
      </c>
      <c r="G123" s="115" t="s">
        <v>425</v>
      </c>
      <c r="H123" s="117" t="s">
        <v>426</v>
      </c>
      <c r="I123" s="115" t="s">
        <v>427</v>
      </c>
      <c r="J123" s="176"/>
      <c r="K123" s="362"/>
      <c r="L123" s="177" t="s">
        <v>688</v>
      </c>
    </row>
    <row r="124" spans="1:12" ht="12.75" customHeight="1">
      <c r="A124" s="26" t="s">
        <v>428</v>
      </c>
      <c r="B124" s="27" t="s">
        <v>429</v>
      </c>
      <c r="C124" s="58" t="s">
        <v>430</v>
      </c>
      <c r="D124" s="28">
        <v>60</v>
      </c>
      <c r="E124" s="28">
        <v>1</v>
      </c>
      <c r="F124" s="132">
        <v>800</v>
      </c>
      <c r="G124" s="131">
        <f>IF(E124=0,(IF(D124=0,F124,D124*F124)),(IF(D124=0,F124,D124*E124*F124)))</f>
        <v>48000</v>
      </c>
      <c r="H124" s="30">
        <v>26</v>
      </c>
      <c r="I124" s="133">
        <f>IF(H124&lt;&gt;0,(G124*H124)/100,0)</f>
        <v>12480</v>
      </c>
      <c r="J124" s="114"/>
      <c r="K124" s="363"/>
      <c r="L124" s="178">
        <f>IF(E124=mva,G124-(G124/mva),"")</f>
      </c>
    </row>
    <row r="125" spans="1:12" ht="12.75" customHeight="1">
      <c r="A125" s="26" t="s">
        <v>431</v>
      </c>
      <c r="B125" s="31" t="s">
        <v>432</v>
      </c>
      <c r="C125" s="58" t="s">
        <v>433</v>
      </c>
      <c r="D125" s="32">
        <v>0.3</v>
      </c>
      <c r="E125" s="32"/>
      <c r="F125" s="131">
        <f>IF(D125=0,0,+G124)</f>
        <v>48000</v>
      </c>
      <c r="G125" s="131">
        <f>IF(E125=0,(IF(D125=0,F125,D125*F125)),(IF(D125=0,F125,D125*E125*F125)))</f>
        <v>14400</v>
      </c>
      <c r="H125" s="30">
        <v>26</v>
      </c>
      <c r="I125" s="133">
        <f>IF(H125&lt;&gt;0,(G125*H125)/100,0)</f>
        <v>3744</v>
      </c>
      <c r="J125" s="114"/>
      <c r="K125" s="363"/>
      <c r="L125" s="178">
        <f>IF(E125=mva,G125-(G125/mva),"")</f>
      </c>
    </row>
    <row r="126" spans="1:12" ht="12.75" customHeight="1">
      <c r="A126" s="123" t="s">
        <v>22</v>
      </c>
      <c r="B126" s="124" t="s">
        <v>23</v>
      </c>
      <c r="C126" s="125" t="s">
        <v>421</v>
      </c>
      <c r="D126" s="129">
        <v>25</v>
      </c>
      <c r="E126" s="130">
        <v>20</v>
      </c>
      <c r="F126" s="127">
        <v>50</v>
      </c>
      <c r="G126" s="128">
        <f>IF(E126=0,(IF(D126=0,F126,D126*F126)),(IF(D126=0,F126,D126*E126*F126)))</f>
        <v>25000</v>
      </c>
      <c r="H126" s="126"/>
      <c r="I126" s="126"/>
      <c r="J126" s="114"/>
      <c r="K126" s="363"/>
      <c r="L126" s="178">
        <f>IF(E126=mva,G126-(G126/mva),"")</f>
      </c>
    </row>
    <row r="127" spans="1:12" ht="12.75" customHeight="1">
      <c r="A127" s="123" t="s">
        <v>171</v>
      </c>
      <c r="B127" s="124" t="s">
        <v>172</v>
      </c>
      <c r="C127" s="125" t="s">
        <v>628</v>
      </c>
      <c r="D127" s="129">
        <v>8</v>
      </c>
      <c r="E127" s="130"/>
      <c r="F127" s="127">
        <v>25000</v>
      </c>
      <c r="G127" s="128">
        <f>IF(E127=0,(IF(D127=0,F127,D127*F127)),(IF(D127=0,F127,D127*E127*F127)))</f>
        <v>200000</v>
      </c>
      <c r="H127" s="126"/>
      <c r="I127" s="126"/>
      <c r="J127" s="114"/>
      <c r="K127" s="364" t="s">
        <v>423</v>
      </c>
      <c r="L127" s="178">
        <f>IF(K127&lt;&gt;"",(IF(D127=mva,(G127/mva)*MVAsats%,G127*MVAsats%)),"")</f>
        <v>50000</v>
      </c>
    </row>
  </sheetData>
  <sheetProtection sheet="1"/>
  <dataValidations count="1">
    <dataValidation type="custom" allowBlank="1" showInputMessage="1" showErrorMessage="1" errorTitle="ADVARSEL" error="Du har allerede lagt inn MVA på denne posten!&#10;&#10;Slett eventuelt MVA i X kolonnen." sqref="K124:K127">
      <formula1>'LES DETTE!'!#REF!&lt;&gt;_mva1</formula1>
    </dataValidation>
  </dataValidations>
  <printOptions/>
  <pageMargins left="0.8267716535433072" right="0.2362204724409449" top="0.6299212598425197" bottom="0.6692913385826772" header="0.5118110236220472" footer="0.5118110236220472"/>
  <pageSetup blackAndWhite="1" fitToHeight="2" fitToWidth="1" horizontalDpi="600" verticalDpi="600" orientation="portrait" paperSize="9" scale="92"/>
  <rowBreaks count="1" manualBreakCount="1">
    <brk id="41" max="255" man="1"/>
  </rowBreaks>
  <drawing r:id="rId1"/>
</worksheet>
</file>

<file path=xl/worksheets/sheet10.xml><?xml version="1.0" encoding="utf-8"?>
<worksheet xmlns="http://schemas.openxmlformats.org/spreadsheetml/2006/main" xmlns:r="http://schemas.openxmlformats.org/officeDocument/2006/relationships">
  <sheetPr codeName="Ark13"/>
  <dimension ref="A1:L148"/>
  <sheetViews>
    <sheetView showGridLines="0" showRowColHeaders="0" showZeros="0" showOutlineSymbols="0" workbookViewId="0" topLeftCell="A1">
      <pane ySplit="1" topLeftCell="BM2" activePane="bottomLeft" state="frozen"/>
      <selection pane="topLeft" activeCell="A1" sqref="A1"/>
      <selection pane="bottomLeft" activeCell="A1" sqref="A1"/>
    </sheetView>
  </sheetViews>
  <sheetFormatPr defaultColWidth="11.421875" defaultRowHeight="12.75"/>
  <cols>
    <col min="1" max="1" width="6.7109375" style="0" customWidth="1"/>
    <col min="2" max="2" width="42.7109375" style="0" customWidth="1"/>
    <col min="3" max="3" width="6.7109375" style="0" customWidth="1"/>
    <col min="4" max="4" width="4.28125" style="0" customWidth="1"/>
    <col min="5" max="5" width="6.7109375" style="0" customWidth="1"/>
    <col min="6" max="6" width="7.7109375" style="0" customWidth="1"/>
    <col min="7" max="8" width="1.7109375" style="0" customWidth="1"/>
    <col min="9" max="9" width="8.28125" style="0" customWidth="1"/>
    <col min="10" max="10" width="2.7109375" style="0" customWidth="1"/>
    <col min="11" max="11" width="44.00390625" style="0" customWidth="1"/>
  </cols>
  <sheetData>
    <row r="1" spans="1:12" ht="20.25" customHeight="1">
      <c r="A1" s="215" t="s">
        <v>655</v>
      </c>
      <c r="B1" s="199"/>
      <c r="C1" s="373" t="s">
        <v>681</v>
      </c>
      <c r="D1" s="199"/>
      <c r="E1" s="199"/>
      <c r="H1" s="199"/>
      <c r="I1" s="199"/>
      <c r="J1" s="199"/>
      <c r="K1" s="199"/>
      <c r="L1" s="199"/>
    </row>
    <row r="2" spans="1:12" ht="12.75">
      <c r="A2" s="499"/>
      <c r="B2" s="499"/>
      <c r="C2" s="499"/>
      <c r="D2" s="499"/>
      <c r="E2" s="499"/>
      <c r="F2" s="499"/>
      <c r="G2" s="499"/>
      <c r="H2" s="499"/>
      <c r="I2" s="499"/>
      <c r="J2" s="499"/>
      <c r="K2" s="199"/>
      <c r="L2" s="199"/>
    </row>
    <row r="3" spans="1:12" ht="12.75">
      <c r="A3" s="395">
        <v>449070</v>
      </c>
      <c r="B3" s="499" t="s">
        <v>411</v>
      </c>
      <c r="C3" s="458" t="s">
        <v>422</v>
      </c>
      <c r="D3" s="500" t="s">
        <v>423</v>
      </c>
      <c r="E3" s="458" t="s">
        <v>424</v>
      </c>
      <c r="F3" s="458" t="s">
        <v>425</v>
      </c>
      <c r="G3" s="458"/>
      <c r="H3" s="499"/>
      <c r="I3" s="501" t="s">
        <v>688</v>
      </c>
      <c r="J3" s="502"/>
      <c r="K3" s="199"/>
      <c r="L3" s="199"/>
    </row>
    <row r="4" spans="1:12" s="1" customFormat="1" ht="12.75">
      <c r="A4" s="503"/>
      <c r="B4" s="504"/>
      <c r="C4" s="453"/>
      <c r="D4" s="436"/>
      <c r="E4" s="443"/>
      <c r="F4" s="400">
        <f aca="true" t="shared" si="0" ref="F4:F23">IF(D4=0,(IF(C4=0,E4,C4*E4)),(IF(C4=0,E4*D4,C4*D4*E4)))</f>
        <v>0</v>
      </c>
      <c r="G4" s="402"/>
      <c r="H4" s="403"/>
      <c r="I4" s="404">
        <f>IF(H4&lt;&gt;"",(F4*mva)-F4,"")</f>
      </c>
      <c r="J4" s="505"/>
      <c r="K4" s="199"/>
      <c r="L4" s="199"/>
    </row>
    <row r="5" spans="1:12" s="1" customFormat="1" ht="12.75">
      <c r="A5" s="503"/>
      <c r="B5" s="504"/>
      <c r="C5" s="453"/>
      <c r="D5" s="436"/>
      <c r="E5" s="443"/>
      <c r="F5" s="406">
        <f t="shared" si="0"/>
        <v>0</v>
      </c>
      <c r="G5" s="402"/>
      <c r="H5" s="403"/>
      <c r="I5" s="404">
        <f aca="true" t="shared" si="1" ref="I5:I23">IF(H5&lt;&gt;"",(F5*mva)-F5,"")</f>
      </c>
      <c r="J5" s="505"/>
      <c r="K5" s="199"/>
      <c r="L5" s="199"/>
    </row>
    <row r="6" spans="1:12" s="1" customFormat="1" ht="12.75">
      <c r="A6" s="503"/>
      <c r="B6" s="504"/>
      <c r="C6" s="453"/>
      <c r="D6" s="436"/>
      <c r="E6" s="443"/>
      <c r="F6" s="406">
        <f t="shared" si="0"/>
        <v>0</v>
      </c>
      <c r="G6" s="402"/>
      <c r="H6" s="403"/>
      <c r="I6" s="404">
        <f t="shared" si="1"/>
      </c>
      <c r="J6" s="505"/>
      <c r="K6" s="199"/>
      <c r="L6" s="199"/>
    </row>
    <row r="7" spans="1:12" s="1" customFormat="1" ht="12.75">
      <c r="A7" s="503"/>
      <c r="B7" s="504"/>
      <c r="C7" s="453"/>
      <c r="D7" s="436"/>
      <c r="E7" s="443"/>
      <c r="F7" s="406">
        <f t="shared" si="0"/>
        <v>0</v>
      </c>
      <c r="G7" s="402"/>
      <c r="H7" s="403"/>
      <c r="I7" s="404">
        <f t="shared" si="1"/>
      </c>
      <c r="J7" s="505"/>
      <c r="K7" s="199"/>
      <c r="L7" s="199"/>
    </row>
    <row r="8" spans="1:12" s="1" customFormat="1" ht="12.75">
      <c r="A8" s="503"/>
      <c r="B8" s="504"/>
      <c r="C8" s="453"/>
      <c r="D8" s="436"/>
      <c r="E8" s="443"/>
      <c r="F8" s="406">
        <f t="shared" si="0"/>
        <v>0</v>
      </c>
      <c r="G8" s="402"/>
      <c r="H8" s="403"/>
      <c r="I8" s="404">
        <f t="shared" si="1"/>
      </c>
      <c r="J8" s="505"/>
      <c r="K8" s="199"/>
      <c r="L8" s="199"/>
    </row>
    <row r="9" spans="1:12" s="1" customFormat="1" ht="12.75">
      <c r="A9" s="503"/>
      <c r="B9" s="504"/>
      <c r="C9" s="453"/>
      <c r="D9" s="436"/>
      <c r="E9" s="443"/>
      <c r="F9" s="406">
        <f t="shared" si="0"/>
        <v>0</v>
      </c>
      <c r="G9" s="402"/>
      <c r="H9" s="403"/>
      <c r="I9" s="404">
        <f t="shared" si="1"/>
      </c>
      <c r="J9" s="505"/>
      <c r="K9" s="199"/>
      <c r="L9" s="199"/>
    </row>
    <row r="10" spans="1:12" s="1" customFormat="1" ht="12.75">
      <c r="A10" s="503"/>
      <c r="B10" s="504"/>
      <c r="C10" s="453"/>
      <c r="D10" s="436"/>
      <c r="E10" s="443"/>
      <c r="F10" s="406">
        <f t="shared" si="0"/>
        <v>0</v>
      </c>
      <c r="G10" s="402"/>
      <c r="H10" s="403"/>
      <c r="I10" s="404">
        <f t="shared" si="1"/>
      </c>
      <c r="J10" s="505"/>
      <c r="K10" s="199"/>
      <c r="L10" s="199"/>
    </row>
    <row r="11" spans="1:12" s="1" customFormat="1" ht="12.75">
      <c r="A11" s="503"/>
      <c r="B11" s="504"/>
      <c r="C11" s="436"/>
      <c r="D11" s="436"/>
      <c r="E11" s="443"/>
      <c r="F11" s="406">
        <f t="shared" si="0"/>
        <v>0</v>
      </c>
      <c r="G11" s="402"/>
      <c r="H11" s="403"/>
      <c r="I11" s="404">
        <f t="shared" si="1"/>
      </c>
      <c r="J11" s="505"/>
      <c r="K11" s="199"/>
      <c r="L11" s="199"/>
    </row>
    <row r="12" spans="1:12" s="1" customFormat="1" ht="12.75">
      <c r="A12" s="503"/>
      <c r="B12" s="504"/>
      <c r="C12" s="436"/>
      <c r="D12" s="436"/>
      <c r="E12" s="443"/>
      <c r="F12" s="406">
        <f t="shared" si="0"/>
        <v>0</v>
      </c>
      <c r="G12" s="402"/>
      <c r="H12" s="403"/>
      <c r="I12" s="404">
        <f t="shared" si="1"/>
      </c>
      <c r="J12" s="505"/>
      <c r="K12" s="199"/>
      <c r="L12" s="199"/>
    </row>
    <row r="13" spans="1:12" s="1" customFormat="1" ht="12.75">
      <c r="A13" s="503"/>
      <c r="B13" s="504"/>
      <c r="C13" s="436"/>
      <c r="D13" s="436"/>
      <c r="E13" s="443"/>
      <c r="F13" s="406">
        <f t="shared" si="0"/>
        <v>0</v>
      </c>
      <c r="G13" s="402"/>
      <c r="H13" s="403"/>
      <c r="I13" s="404">
        <f t="shared" si="1"/>
      </c>
      <c r="J13" s="505"/>
      <c r="K13" s="199"/>
      <c r="L13" s="199"/>
    </row>
    <row r="14" spans="1:12" s="1" customFormat="1" ht="12.75">
      <c r="A14" s="503"/>
      <c r="B14" s="504"/>
      <c r="C14" s="436"/>
      <c r="D14" s="436"/>
      <c r="E14" s="443"/>
      <c r="F14" s="406">
        <f t="shared" si="0"/>
        <v>0</v>
      </c>
      <c r="G14" s="402"/>
      <c r="H14" s="403"/>
      <c r="I14" s="404">
        <f t="shared" si="1"/>
      </c>
      <c r="J14" s="505"/>
      <c r="K14" s="199"/>
      <c r="L14" s="199"/>
    </row>
    <row r="15" spans="1:12" s="1" customFormat="1" ht="12.75">
      <c r="A15" s="503"/>
      <c r="B15" s="504"/>
      <c r="C15" s="436"/>
      <c r="D15" s="436"/>
      <c r="E15" s="443"/>
      <c r="F15" s="406">
        <f t="shared" si="0"/>
        <v>0</v>
      </c>
      <c r="G15" s="402"/>
      <c r="H15" s="403"/>
      <c r="I15" s="404">
        <f t="shared" si="1"/>
      </c>
      <c r="J15" s="505"/>
      <c r="K15" s="199"/>
      <c r="L15" s="199"/>
    </row>
    <row r="16" spans="1:12" s="1" customFormat="1" ht="12.75">
      <c r="A16" s="503"/>
      <c r="B16" s="504"/>
      <c r="C16" s="436"/>
      <c r="D16" s="436"/>
      <c r="E16" s="443"/>
      <c r="F16" s="406">
        <f t="shared" si="0"/>
        <v>0</v>
      </c>
      <c r="G16" s="402"/>
      <c r="H16" s="403"/>
      <c r="I16" s="404">
        <f t="shared" si="1"/>
      </c>
      <c r="J16" s="505"/>
      <c r="K16" s="199"/>
      <c r="L16" s="199"/>
    </row>
    <row r="17" spans="1:12" s="1" customFormat="1" ht="12.75">
      <c r="A17" s="503"/>
      <c r="B17" s="504"/>
      <c r="C17" s="436"/>
      <c r="D17" s="436"/>
      <c r="E17" s="443"/>
      <c r="F17" s="406">
        <f t="shared" si="0"/>
        <v>0</v>
      </c>
      <c r="G17" s="402"/>
      <c r="H17" s="403"/>
      <c r="I17" s="404">
        <f t="shared" si="1"/>
      </c>
      <c r="J17" s="505"/>
      <c r="K17" s="199"/>
      <c r="L17" s="199"/>
    </row>
    <row r="18" spans="1:12" s="1" customFormat="1" ht="12.75">
      <c r="A18" s="503"/>
      <c r="B18" s="504"/>
      <c r="C18" s="436"/>
      <c r="D18" s="436"/>
      <c r="E18" s="443"/>
      <c r="F18" s="406">
        <f t="shared" si="0"/>
        <v>0</v>
      </c>
      <c r="G18" s="402"/>
      <c r="H18" s="403"/>
      <c r="I18" s="404">
        <f t="shared" si="1"/>
      </c>
      <c r="J18" s="505"/>
      <c r="K18" s="199"/>
      <c r="L18" s="199"/>
    </row>
    <row r="19" spans="1:12" s="1" customFormat="1" ht="12.75">
      <c r="A19" s="503"/>
      <c r="B19" s="504"/>
      <c r="C19" s="436"/>
      <c r="D19" s="436"/>
      <c r="E19" s="443"/>
      <c r="F19" s="406">
        <f t="shared" si="0"/>
        <v>0</v>
      </c>
      <c r="G19" s="402"/>
      <c r="H19" s="403"/>
      <c r="I19" s="404">
        <f t="shared" si="1"/>
      </c>
      <c r="J19" s="505"/>
      <c r="K19" s="199"/>
      <c r="L19" s="199"/>
    </row>
    <row r="20" spans="1:12" s="1" customFormat="1" ht="12.75">
      <c r="A20" s="503"/>
      <c r="B20" s="504"/>
      <c r="C20" s="436"/>
      <c r="D20" s="436"/>
      <c r="E20" s="443"/>
      <c r="F20" s="406">
        <f t="shared" si="0"/>
        <v>0</v>
      </c>
      <c r="G20" s="402"/>
      <c r="H20" s="403"/>
      <c r="I20" s="404">
        <f t="shared" si="1"/>
      </c>
      <c r="J20" s="505"/>
      <c r="K20" s="199"/>
      <c r="L20" s="199"/>
    </row>
    <row r="21" spans="1:12" s="1" customFormat="1" ht="12.75">
      <c r="A21" s="503"/>
      <c r="B21" s="504"/>
      <c r="C21" s="436"/>
      <c r="D21" s="436"/>
      <c r="E21" s="443"/>
      <c r="F21" s="406">
        <f t="shared" si="0"/>
        <v>0</v>
      </c>
      <c r="G21" s="402"/>
      <c r="H21" s="403"/>
      <c r="I21" s="404">
        <f t="shared" si="1"/>
      </c>
      <c r="J21" s="505"/>
      <c r="K21" s="199"/>
      <c r="L21" s="199"/>
    </row>
    <row r="22" spans="1:12" s="1" customFormat="1" ht="12.75">
      <c r="A22" s="503"/>
      <c r="B22" s="504"/>
      <c r="C22" s="436"/>
      <c r="D22" s="436"/>
      <c r="E22" s="443"/>
      <c r="F22" s="406">
        <f t="shared" si="0"/>
        <v>0</v>
      </c>
      <c r="G22" s="402"/>
      <c r="H22" s="403"/>
      <c r="I22" s="404">
        <f t="shared" si="1"/>
      </c>
      <c r="J22" s="505"/>
      <c r="K22" s="199"/>
      <c r="L22" s="199"/>
    </row>
    <row r="23" spans="1:12" s="1" customFormat="1" ht="12.75">
      <c r="A23" s="503"/>
      <c r="B23" s="504"/>
      <c r="C23" s="436"/>
      <c r="D23" s="436"/>
      <c r="E23" s="443"/>
      <c r="F23" s="424">
        <f t="shared" si="0"/>
        <v>0</v>
      </c>
      <c r="G23" s="402"/>
      <c r="H23" s="403"/>
      <c r="I23" s="404">
        <f t="shared" si="1"/>
      </c>
      <c r="J23" s="505"/>
      <c r="K23" s="199"/>
      <c r="L23" s="199"/>
    </row>
    <row r="24" spans="1:12" s="1" customFormat="1" ht="13.5" thickBot="1">
      <c r="A24" s="506" t="s">
        <v>652</v>
      </c>
      <c r="B24" s="435"/>
      <c r="C24" s="450"/>
      <c r="D24" s="459"/>
      <c r="E24" s="460" t="s">
        <v>570</v>
      </c>
      <c r="F24" s="430">
        <f>SUM(F4:F23)</f>
        <v>0</v>
      </c>
      <c r="G24" s="402"/>
      <c r="H24" s="507"/>
      <c r="I24" s="508">
        <f>SUM(I4:I23)</f>
        <v>0</v>
      </c>
      <c r="J24" s="402"/>
      <c r="K24" s="199"/>
      <c r="L24" s="199"/>
    </row>
    <row r="25" spans="1:12" s="1" customFormat="1" ht="13.5" thickTop="1">
      <c r="A25" s="506"/>
      <c r="B25" s="435"/>
      <c r="C25" s="450"/>
      <c r="D25" s="459"/>
      <c r="E25" s="460"/>
      <c r="F25" s="402"/>
      <c r="G25" s="402"/>
      <c r="H25" s="432"/>
      <c r="I25" s="402"/>
      <c r="J25" s="402"/>
      <c r="K25" s="199"/>
      <c r="L25" s="199"/>
    </row>
    <row r="26" spans="1:12" ht="12.75">
      <c r="A26" s="499"/>
      <c r="B26" s="499"/>
      <c r="C26" s="499"/>
      <c r="D26" s="499"/>
      <c r="E26" s="499"/>
      <c r="F26" s="499"/>
      <c r="G26" s="499"/>
      <c r="H26" s="499"/>
      <c r="I26" s="499"/>
      <c r="J26" s="499"/>
      <c r="K26" s="199"/>
      <c r="L26" s="199"/>
    </row>
    <row r="27" spans="1:12" ht="12.75">
      <c r="A27" s="395">
        <v>449072</v>
      </c>
      <c r="B27" s="499" t="s">
        <v>412</v>
      </c>
      <c r="C27" s="458" t="s">
        <v>422</v>
      </c>
      <c r="D27" s="500" t="s">
        <v>423</v>
      </c>
      <c r="E27" s="458" t="s">
        <v>424</v>
      </c>
      <c r="F27" s="458" t="s">
        <v>425</v>
      </c>
      <c r="G27" s="458"/>
      <c r="H27" s="499"/>
      <c r="I27" s="499"/>
      <c r="J27" s="499"/>
      <c r="K27" s="199"/>
      <c r="L27" s="199"/>
    </row>
    <row r="28" spans="1:12" s="1" customFormat="1" ht="12.75">
      <c r="A28" s="503"/>
      <c r="B28" s="504"/>
      <c r="C28" s="436"/>
      <c r="D28" s="436"/>
      <c r="E28" s="443"/>
      <c r="F28" s="400">
        <f aca="true" t="shared" si="2" ref="F28:F47">IF(D28=0,(IF(C28=0,E28,C28*E28)),(IF(C28=0,E28*D28,C28*D28*E28)))</f>
        <v>0</v>
      </c>
      <c r="G28" s="402"/>
      <c r="H28" s="403"/>
      <c r="I28" s="404">
        <f>IF(H28&lt;&gt;"",(F28*mva)-F28,"")</f>
      </c>
      <c r="J28" s="505"/>
      <c r="K28" s="199"/>
      <c r="L28" s="199"/>
    </row>
    <row r="29" spans="1:12" s="1" customFormat="1" ht="12.75">
      <c r="A29" s="503"/>
      <c r="B29" s="504"/>
      <c r="C29" s="436"/>
      <c r="D29" s="436"/>
      <c r="E29" s="443"/>
      <c r="F29" s="406">
        <f t="shared" si="2"/>
        <v>0</v>
      </c>
      <c r="G29" s="402"/>
      <c r="H29" s="403"/>
      <c r="I29" s="404">
        <f aca="true" t="shared" si="3" ref="I29:I47">IF(H29&lt;&gt;"",(F29*mva)-F29,"")</f>
      </c>
      <c r="J29" s="505"/>
      <c r="K29" s="199"/>
      <c r="L29" s="199"/>
    </row>
    <row r="30" spans="1:12" s="1" customFormat="1" ht="12.75">
      <c r="A30" s="503"/>
      <c r="B30" s="504"/>
      <c r="C30" s="436"/>
      <c r="D30" s="436"/>
      <c r="E30" s="443"/>
      <c r="F30" s="406">
        <f t="shared" si="2"/>
        <v>0</v>
      </c>
      <c r="G30" s="402"/>
      <c r="H30" s="403"/>
      <c r="I30" s="404">
        <f t="shared" si="3"/>
      </c>
      <c r="J30" s="505"/>
      <c r="K30" s="199"/>
      <c r="L30" s="199"/>
    </row>
    <row r="31" spans="1:12" s="1" customFormat="1" ht="12.75">
      <c r="A31" s="503"/>
      <c r="B31" s="504"/>
      <c r="C31" s="436"/>
      <c r="D31" s="436"/>
      <c r="E31" s="443"/>
      <c r="F31" s="406">
        <f t="shared" si="2"/>
        <v>0</v>
      </c>
      <c r="G31" s="402"/>
      <c r="H31" s="403"/>
      <c r="I31" s="404">
        <f t="shared" si="3"/>
      </c>
      <c r="J31" s="505"/>
      <c r="K31" s="199"/>
      <c r="L31" s="199"/>
    </row>
    <row r="32" spans="1:12" s="1" customFormat="1" ht="12.75">
      <c r="A32" s="503"/>
      <c r="B32" s="504"/>
      <c r="C32" s="436"/>
      <c r="D32" s="436"/>
      <c r="E32" s="443"/>
      <c r="F32" s="406">
        <f t="shared" si="2"/>
        <v>0</v>
      </c>
      <c r="G32" s="402"/>
      <c r="H32" s="403"/>
      <c r="I32" s="404">
        <f t="shared" si="3"/>
      </c>
      <c r="J32" s="505"/>
      <c r="K32" s="199"/>
      <c r="L32" s="199"/>
    </row>
    <row r="33" spans="1:12" s="1" customFormat="1" ht="12.75">
      <c r="A33" s="503"/>
      <c r="B33" s="504"/>
      <c r="C33" s="436"/>
      <c r="D33" s="436"/>
      <c r="E33" s="443"/>
      <c r="F33" s="406">
        <f t="shared" si="2"/>
        <v>0</v>
      </c>
      <c r="G33" s="402"/>
      <c r="H33" s="403"/>
      <c r="I33" s="404">
        <f t="shared" si="3"/>
      </c>
      <c r="J33" s="505"/>
      <c r="K33" s="199"/>
      <c r="L33" s="199"/>
    </row>
    <row r="34" spans="1:12" s="1" customFormat="1" ht="12.75">
      <c r="A34" s="503"/>
      <c r="B34" s="504"/>
      <c r="C34" s="436"/>
      <c r="D34" s="436"/>
      <c r="E34" s="443"/>
      <c r="F34" s="406">
        <f t="shared" si="2"/>
        <v>0</v>
      </c>
      <c r="G34" s="402"/>
      <c r="H34" s="403"/>
      <c r="I34" s="404">
        <f t="shared" si="3"/>
      </c>
      <c r="J34" s="505"/>
      <c r="K34" s="199"/>
      <c r="L34" s="199"/>
    </row>
    <row r="35" spans="1:12" s="1" customFormat="1" ht="12.75">
      <c r="A35" s="503"/>
      <c r="B35" s="504"/>
      <c r="C35" s="436"/>
      <c r="D35" s="436"/>
      <c r="E35" s="443"/>
      <c r="F35" s="406">
        <f t="shared" si="2"/>
        <v>0</v>
      </c>
      <c r="G35" s="402"/>
      <c r="H35" s="403"/>
      <c r="I35" s="404">
        <f t="shared" si="3"/>
      </c>
      <c r="J35" s="505"/>
      <c r="K35" s="199"/>
      <c r="L35" s="199"/>
    </row>
    <row r="36" spans="1:12" s="1" customFormat="1" ht="12.75">
      <c r="A36" s="503"/>
      <c r="B36" s="504"/>
      <c r="C36" s="436"/>
      <c r="D36" s="436"/>
      <c r="E36" s="443"/>
      <c r="F36" s="406">
        <f t="shared" si="2"/>
        <v>0</v>
      </c>
      <c r="G36" s="402"/>
      <c r="H36" s="403"/>
      <c r="I36" s="404">
        <f t="shared" si="3"/>
      </c>
      <c r="J36" s="505"/>
      <c r="K36" s="199"/>
      <c r="L36" s="199"/>
    </row>
    <row r="37" spans="1:12" s="1" customFormat="1" ht="12.75">
      <c r="A37" s="503"/>
      <c r="B37" s="504"/>
      <c r="C37" s="436"/>
      <c r="D37" s="436"/>
      <c r="E37" s="443"/>
      <c r="F37" s="406">
        <f t="shared" si="2"/>
        <v>0</v>
      </c>
      <c r="G37" s="402"/>
      <c r="H37" s="403"/>
      <c r="I37" s="404">
        <f t="shared" si="3"/>
      </c>
      <c r="J37" s="505"/>
      <c r="K37" s="199"/>
      <c r="L37" s="199"/>
    </row>
    <row r="38" spans="1:12" s="1" customFormat="1" ht="12.75">
      <c r="A38" s="503"/>
      <c r="B38" s="504"/>
      <c r="C38" s="436"/>
      <c r="D38" s="436"/>
      <c r="E38" s="443"/>
      <c r="F38" s="406">
        <f t="shared" si="2"/>
        <v>0</v>
      </c>
      <c r="G38" s="402"/>
      <c r="H38" s="403"/>
      <c r="I38" s="404">
        <f t="shared" si="3"/>
      </c>
      <c r="J38" s="505"/>
      <c r="K38" s="199"/>
      <c r="L38" s="199"/>
    </row>
    <row r="39" spans="1:12" s="1" customFormat="1" ht="12.75">
      <c r="A39" s="503"/>
      <c r="B39" s="504"/>
      <c r="C39" s="436"/>
      <c r="D39" s="436"/>
      <c r="E39" s="443"/>
      <c r="F39" s="406">
        <f t="shared" si="2"/>
        <v>0</v>
      </c>
      <c r="G39" s="402"/>
      <c r="H39" s="403"/>
      <c r="I39" s="404">
        <f t="shared" si="3"/>
      </c>
      <c r="J39" s="505"/>
      <c r="K39" s="199"/>
      <c r="L39" s="199"/>
    </row>
    <row r="40" spans="1:12" s="1" customFormat="1" ht="12.75">
      <c r="A40" s="503"/>
      <c r="B40" s="504"/>
      <c r="C40" s="436"/>
      <c r="D40" s="436"/>
      <c r="E40" s="443"/>
      <c r="F40" s="406">
        <f t="shared" si="2"/>
        <v>0</v>
      </c>
      <c r="G40" s="402"/>
      <c r="H40" s="403"/>
      <c r="I40" s="404">
        <f t="shared" si="3"/>
      </c>
      <c r="J40" s="505"/>
      <c r="K40" s="199"/>
      <c r="L40" s="199"/>
    </row>
    <row r="41" spans="1:12" s="1" customFormat="1" ht="12.75">
      <c r="A41" s="503"/>
      <c r="B41" s="504"/>
      <c r="C41" s="436"/>
      <c r="D41" s="436"/>
      <c r="E41" s="443"/>
      <c r="F41" s="406">
        <f t="shared" si="2"/>
        <v>0</v>
      </c>
      <c r="G41" s="402"/>
      <c r="H41" s="403"/>
      <c r="I41" s="404">
        <f t="shared" si="3"/>
      </c>
      <c r="J41" s="505"/>
      <c r="K41" s="199"/>
      <c r="L41" s="199"/>
    </row>
    <row r="42" spans="1:12" s="1" customFormat="1" ht="12.75">
      <c r="A42" s="503"/>
      <c r="B42" s="504"/>
      <c r="C42" s="436"/>
      <c r="D42" s="436"/>
      <c r="E42" s="443"/>
      <c r="F42" s="406">
        <f t="shared" si="2"/>
        <v>0</v>
      </c>
      <c r="G42" s="402"/>
      <c r="H42" s="403"/>
      <c r="I42" s="404">
        <f t="shared" si="3"/>
      </c>
      <c r="J42" s="505"/>
      <c r="K42" s="199"/>
      <c r="L42" s="199"/>
    </row>
    <row r="43" spans="1:12" s="1" customFormat="1" ht="12.75">
      <c r="A43" s="503"/>
      <c r="B43" s="504"/>
      <c r="C43" s="436"/>
      <c r="D43" s="436"/>
      <c r="E43" s="443"/>
      <c r="F43" s="406">
        <f t="shared" si="2"/>
        <v>0</v>
      </c>
      <c r="G43" s="402"/>
      <c r="H43" s="403"/>
      <c r="I43" s="404">
        <f t="shared" si="3"/>
      </c>
      <c r="J43" s="505"/>
      <c r="K43" s="199"/>
      <c r="L43" s="199"/>
    </row>
    <row r="44" spans="1:12" s="1" customFormat="1" ht="12.75">
      <c r="A44" s="503"/>
      <c r="B44" s="504"/>
      <c r="C44" s="436"/>
      <c r="D44" s="436"/>
      <c r="E44" s="443"/>
      <c r="F44" s="406">
        <f t="shared" si="2"/>
        <v>0</v>
      </c>
      <c r="G44" s="402"/>
      <c r="H44" s="403"/>
      <c r="I44" s="404">
        <f t="shared" si="3"/>
      </c>
      <c r="J44" s="505"/>
      <c r="K44" s="199"/>
      <c r="L44" s="199"/>
    </row>
    <row r="45" spans="1:12" s="1" customFormat="1" ht="12.75">
      <c r="A45" s="503"/>
      <c r="B45" s="504"/>
      <c r="C45" s="436"/>
      <c r="D45" s="436"/>
      <c r="E45" s="443"/>
      <c r="F45" s="406">
        <f t="shared" si="2"/>
        <v>0</v>
      </c>
      <c r="G45" s="402"/>
      <c r="H45" s="403"/>
      <c r="I45" s="404">
        <f t="shared" si="3"/>
      </c>
      <c r="J45" s="505"/>
      <c r="K45" s="199"/>
      <c r="L45" s="199"/>
    </row>
    <row r="46" spans="1:12" s="1" customFormat="1" ht="12.75">
      <c r="A46" s="503"/>
      <c r="B46" s="504"/>
      <c r="C46" s="436"/>
      <c r="D46" s="436"/>
      <c r="E46" s="443"/>
      <c r="F46" s="406">
        <f t="shared" si="2"/>
        <v>0</v>
      </c>
      <c r="G46" s="402"/>
      <c r="H46" s="403"/>
      <c r="I46" s="404">
        <f t="shared" si="3"/>
      </c>
      <c r="J46" s="505"/>
      <c r="K46" s="199"/>
      <c r="L46" s="199"/>
    </row>
    <row r="47" spans="1:12" s="1" customFormat="1" ht="12.75">
      <c r="A47" s="503"/>
      <c r="B47" s="504"/>
      <c r="C47" s="436"/>
      <c r="D47" s="436"/>
      <c r="E47" s="443"/>
      <c r="F47" s="424">
        <f t="shared" si="2"/>
        <v>0</v>
      </c>
      <c r="G47" s="402"/>
      <c r="H47" s="403"/>
      <c r="I47" s="404">
        <f t="shared" si="3"/>
      </c>
      <c r="J47" s="505"/>
      <c r="K47" s="199"/>
      <c r="L47" s="199"/>
    </row>
    <row r="48" spans="1:12" ht="13.5" thickBot="1">
      <c r="A48" s="499"/>
      <c r="B48" s="499"/>
      <c r="C48" s="450"/>
      <c r="D48" s="459"/>
      <c r="E48" s="460" t="s">
        <v>570</v>
      </c>
      <c r="F48" s="508">
        <f>SUM(F28:F47)</f>
        <v>0</v>
      </c>
      <c r="G48" s="402"/>
      <c r="H48" s="432"/>
      <c r="I48" s="508">
        <f>SUM(I28:I47)</f>
        <v>0</v>
      </c>
      <c r="J48" s="402"/>
      <c r="K48" s="199"/>
      <c r="L48" s="199"/>
    </row>
    <row r="49" spans="1:12" ht="13.5" thickTop="1">
      <c r="A49" s="499"/>
      <c r="B49" s="499"/>
      <c r="C49" s="450"/>
      <c r="D49" s="459"/>
      <c r="E49" s="460"/>
      <c r="F49" s="402"/>
      <c r="G49" s="402"/>
      <c r="H49" s="432"/>
      <c r="I49" s="402"/>
      <c r="J49" s="402"/>
      <c r="K49" s="199"/>
      <c r="L49" s="199"/>
    </row>
    <row r="50" spans="1:12" ht="12.75">
      <c r="A50" s="499"/>
      <c r="B50" s="499"/>
      <c r="C50" s="450"/>
      <c r="D50" s="459"/>
      <c r="E50" s="460"/>
      <c r="F50" s="402"/>
      <c r="G50" s="402"/>
      <c r="H50" s="432"/>
      <c r="I50" s="402"/>
      <c r="J50" s="402"/>
      <c r="K50" s="199"/>
      <c r="L50" s="199"/>
    </row>
    <row r="51" spans="1:12" ht="12.75">
      <c r="A51" s="395">
        <v>449073</v>
      </c>
      <c r="B51" s="499" t="s">
        <v>413</v>
      </c>
      <c r="C51" s="458" t="s">
        <v>422</v>
      </c>
      <c r="D51" s="500" t="s">
        <v>423</v>
      </c>
      <c r="E51" s="458" t="s">
        <v>424</v>
      </c>
      <c r="F51" s="458" t="s">
        <v>425</v>
      </c>
      <c r="G51" s="458"/>
      <c r="H51" s="499"/>
      <c r="I51" s="499"/>
      <c r="J51" s="499"/>
      <c r="K51" s="199"/>
      <c r="L51" s="199"/>
    </row>
    <row r="52" spans="1:12" s="1" customFormat="1" ht="12.75">
      <c r="A52" s="503"/>
      <c r="B52" s="504"/>
      <c r="C52" s="436"/>
      <c r="D52" s="436"/>
      <c r="E52" s="443"/>
      <c r="F52" s="400">
        <f aca="true" t="shared" si="4" ref="F52:F71">IF(D52=0,(IF(C52=0,E52,C52*E52)),(IF(C52=0,E52*D52,C52*D52*E52)))</f>
        <v>0</v>
      </c>
      <c r="G52" s="402"/>
      <c r="H52" s="403"/>
      <c r="I52" s="404">
        <f>IF(H52&lt;&gt;"",(F52*mva)-F52,"")</f>
      </c>
      <c r="J52" s="505"/>
      <c r="K52" s="199"/>
      <c r="L52" s="199"/>
    </row>
    <row r="53" spans="1:12" s="1" customFormat="1" ht="12.75">
      <c r="A53" s="503"/>
      <c r="B53" s="504"/>
      <c r="C53" s="436"/>
      <c r="D53" s="436"/>
      <c r="E53" s="443"/>
      <c r="F53" s="406">
        <f t="shared" si="4"/>
        <v>0</v>
      </c>
      <c r="G53" s="402"/>
      <c r="H53" s="403"/>
      <c r="I53" s="404">
        <f aca="true" t="shared" si="5" ref="I53:I71">IF(H53&lt;&gt;"",(F53*mva)-F53,"")</f>
      </c>
      <c r="J53" s="505"/>
      <c r="K53" s="199"/>
      <c r="L53" s="199"/>
    </row>
    <row r="54" spans="1:12" s="1" customFormat="1" ht="12.75">
      <c r="A54" s="503"/>
      <c r="B54" s="504"/>
      <c r="C54" s="436"/>
      <c r="D54" s="436"/>
      <c r="E54" s="443"/>
      <c r="F54" s="406">
        <f t="shared" si="4"/>
        <v>0</v>
      </c>
      <c r="G54" s="402"/>
      <c r="H54" s="403"/>
      <c r="I54" s="404">
        <f t="shared" si="5"/>
      </c>
      <c r="J54" s="505"/>
      <c r="K54" s="199"/>
      <c r="L54" s="199"/>
    </row>
    <row r="55" spans="1:12" s="1" customFormat="1" ht="12.75">
      <c r="A55" s="503"/>
      <c r="B55" s="504"/>
      <c r="C55" s="436"/>
      <c r="D55" s="436"/>
      <c r="E55" s="443"/>
      <c r="F55" s="406">
        <f t="shared" si="4"/>
        <v>0</v>
      </c>
      <c r="G55" s="402"/>
      <c r="H55" s="403"/>
      <c r="I55" s="404">
        <f t="shared" si="5"/>
      </c>
      <c r="J55" s="505"/>
      <c r="K55" s="199"/>
      <c r="L55" s="199"/>
    </row>
    <row r="56" spans="1:12" s="1" customFormat="1" ht="12.75">
      <c r="A56" s="503"/>
      <c r="B56" s="504"/>
      <c r="C56" s="436"/>
      <c r="D56" s="436"/>
      <c r="E56" s="443"/>
      <c r="F56" s="406">
        <f t="shared" si="4"/>
        <v>0</v>
      </c>
      <c r="G56" s="402"/>
      <c r="H56" s="403"/>
      <c r="I56" s="404">
        <f t="shared" si="5"/>
      </c>
      <c r="J56" s="505"/>
      <c r="K56" s="199"/>
      <c r="L56" s="199"/>
    </row>
    <row r="57" spans="1:12" s="1" customFormat="1" ht="12.75">
      <c r="A57" s="503"/>
      <c r="B57" s="504"/>
      <c r="C57" s="436"/>
      <c r="D57" s="436"/>
      <c r="E57" s="443"/>
      <c r="F57" s="406">
        <f t="shared" si="4"/>
        <v>0</v>
      </c>
      <c r="G57" s="402"/>
      <c r="H57" s="403"/>
      <c r="I57" s="404">
        <f t="shared" si="5"/>
      </c>
      <c r="J57" s="505"/>
      <c r="K57" s="199"/>
      <c r="L57" s="199"/>
    </row>
    <row r="58" spans="1:12" s="1" customFormat="1" ht="12.75">
      <c r="A58" s="503"/>
      <c r="B58" s="504"/>
      <c r="C58" s="436"/>
      <c r="D58" s="436"/>
      <c r="E58" s="443"/>
      <c r="F58" s="406">
        <f t="shared" si="4"/>
        <v>0</v>
      </c>
      <c r="G58" s="402"/>
      <c r="H58" s="403"/>
      <c r="I58" s="404">
        <f t="shared" si="5"/>
      </c>
      <c r="J58" s="505"/>
      <c r="K58" s="199"/>
      <c r="L58" s="199"/>
    </row>
    <row r="59" spans="1:12" s="1" customFormat="1" ht="12.75">
      <c r="A59" s="503"/>
      <c r="B59" s="504"/>
      <c r="C59" s="436"/>
      <c r="D59" s="436"/>
      <c r="E59" s="443"/>
      <c r="F59" s="406">
        <f t="shared" si="4"/>
        <v>0</v>
      </c>
      <c r="G59" s="402"/>
      <c r="H59" s="403"/>
      <c r="I59" s="404">
        <f t="shared" si="5"/>
      </c>
      <c r="J59" s="505"/>
      <c r="K59" s="199"/>
      <c r="L59" s="199"/>
    </row>
    <row r="60" spans="1:12" s="1" customFormat="1" ht="12.75">
      <c r="A60" s="503"/>
      <c r="B60" s="504"/>
      <c r="C60" s="436"/>
      <c r="D60" s="436"/>
      <c r="E60" s="443"/>
      <c r="F60" s="406">
        <f t="shared" si="4"/>
        <v>0</v>
      </c>
      <c r="G60" s="402"/>
      <c r="H60" s="403"/>
      <c r="I60" s="404">
        <f t="shared" si="5"/>
      </c>
      <c r="J60" s="505"/>
      <c r="K60" s="199"/>
      <c r="L60" s="199"/>
    </row>
    <row r="61" spans="1:12" s="1" customFormat="1" ht="12.75">
      <c r="A61" s="503"/>
      <c r="B61" s="504"/>
      <c r="C61" s="436"/>
      <c r="D61" s="436"/>
      <c r="E61" s="443"/>
      <c r="F61" s="406">
        <f t="shared" si="4"/>
        <v>0</v>
      </c>
      <c r="G61" s="402"/>
      <c r="H61" s="403"/>
      <c r="I61" s="404">
        <f t="shared" si="5"/>
      </c>
      <c r="J61" s="505"/>
      <c r="K61" s="199"/>
      <c r="L61" s="199"/>
    </row>
    <row r="62" spans="1:12" s="1" customFormat="1" ht="12.75">
      <c r="A62" s="503"/>
      <c r="B62" s="504"/>
      <c r="C62" s="436"/>
      <c r="D62" s="436"/>
      <c r="E62" s="443"/>
      <c r="F62" s="406">
        <f t="shared" si="4"/>
        <v>0</v>
      </c>
      <c r="G62" s="402"/>
      <c r="H62" s="403"/>
      <c r="I62" s="404">
        <f t="shared" si="5"/>
      </c>
      <c r="J62" s="505"/>
      <c r="K62" s="199"/>
      <c r="L62" s="199"/>
    </row>
    <row r="63" spans="1:12" s="1" customFormat="1" ht="12.75">
      <c r="A63" s="503"/>
      <c r="B63" s="504"/>
      <c r="C63" s="436"/>
      <c r="D63" s="436"/>
      <c r="E63" s="443"/>
      <c r="F63" s="406">
        <f t="shared" si="4"/>
        <v>0</v>
      </c>
      <c r="G63" s="402"/>
      <c r="H63" s="403"/>
      <c r="I63" s="404">
        <f t="shared" si="5"/>
      </c>
      <c r="J63" s="505"/>
      <c r="K63" s="199"/>
      <c r="L63" s="199"/>
    </row>
    <row r="64" spans="1:12" s="1" customFormat="1" ht="12.75">
      <c r="A64" s="503"/>
      <c r="B64" s="504"/>
      <c r="C64" s="436"/>
      <c r="D64" s="436"/>
      <c r="E64" s="443"/>
      <c r="F64" s="406">
        <f t="shared" si="4"/>
        <v>0</v>
      </c>
      <c r="G64" s="402"/>
      <c r="H64" s="403"/>
      <c r="I64" s="404">
        <f t="shared" si="5"/>
      </c>
      <c r="J64" s="505"/>
      <c r="K64" s="199"/>
      <c r="L64" s="199"/>
    </row>
    <row r="65" spans="1:12" s="1" customFormat="1" ht="12.75">
      <c r="A65" s="503"/>
      <c r="B65" s="504"/>
      <c r="C65" s="436"/>
      <c r="D65" s="436"/>
      <c r="E65" s="443"/>
      <c r="F65" s="406">
        <f t="shared" si="4"/>
        <v>0</v>
      </c>
      <c r="G65" s="402"/>
      <c r="H65" s="403"/>
      <c r="I65" s="404">
        <f t="shared" si="5"/>
      </c>
      <c r="J65" s="505"/>
      <c r="K65" s="199"/>
      <c r="L65" s="199"/>
    </row>
    <row r="66" spans="1:12" s="1" customFormat="1" ht="12.75">
      <c r="A66" s="503"/>
      <c r="B66" s="504"/>
      <c r="C66" s="436"/>
      <c r="D66" s="436"/>
      <c r="E66" s="443"/>
      <c r="F66" s="406">
        <f t="shared" si="4"/>
        <v>0</v>
      </c>
      <c r="G66" s="402"/>
      <c r="H66" s="403"/>
      <c r="I66" s="404">
        <f t="shared" si="5"/>
      </c>
      <c r="J66" s="505"/>
      <c r="K66" s="199"/>
      <c r="L66" s="199"/>
    </row>
    <row r="67" spans="1:12" s="1" customFormat="1" ht="12.75">
      <c r="A67" s="503"/>
      <c r="B67" s="504"/>
      <c r="C67" s="436"/>
      <c r="D67" s="436"/>
      <c r="E67" s="443"/>
      <c r="F67" s="406">
        <f t="shared" si="4"/>
        <v>0</v>
      </c>
      <c r="G67" s="402"/>
      <c r="H67" s="403"/>
      <c r="I67" s="404">
        <f t="shared" si="5"/>
      </c>
      <c r="J67" s="505"/>
      <c r="K67" s="199"/>
      <c r="L67" s="199"/>
    </row>
    <row r="68" spans="1:12" s="1" customFormat="1" ht="12.75">
      <c r="A68" s="503"/>
      <c r="B68" s="504"/>
      <c r="C68" s="436"/>
      <c r="D68" s="436"/>
      <c r="E68" s="443"/>
      <c r="F68" s="406">
        <f t="shared" si="4"/>
        <v>0</v>
      </c>
      <c r="G68" s="402"/>
      <c r="H68" s="403"/>
      <c r="I68" s="404">
        <f t="shared" si="5"/>
      </c>
      <c r="J68" s="505"/>
      <c r="K68" s="199"/>
      <c r="L68" s="199"/>
    </row>
    <row r="69" spans="1:12" s="1" customFormat="1" ht="12.75">
      <c r="A69" s="503"/>
      <c r="B69" s="504"/>
      <c r="C69" s="436"/>
      <c r="D69" s="436"/>
      <c r="E69" s="443"/>
      <c r="F69" s="406">
        <f t="shared" si="4"/>
        <v>0</v>
      </c>
      <c r="G69" s="402"/>
      <c r="H69" s="403"/>
      <c r="I69" s="404">
        <f t="shared" si="5"/>
      </c>
      <c r="J69" s="505"/>
      <c r="K69" s="199"/>
      <c r="L69" s="199"/>
    </row>
    <row r="70" spans="1:12" s="1" customFormat="1" ht="12.75">
      <c r="A70" s="503"/>
      <c r="B70" s="504"/>
      <c r="C70" s="436"/>
      <c r="D70" s="436"/>
      <c r="E70" s="443"/>
      <c r="F70" s="406">
        <f t="shared" si="4"/>
        <v>0</v>
      </c>
      <c r="G70" s="402"/>
      <c r="H70" s="403"/>
      <c r="I70" s="404">
        <f t="shared" si="5"/>
      </c>
      <c r="J70" s="505"/>
      <c r="K70" s="199"/>
      <c r="L70" s="199"/>
    </row>
    <row r="71" spans="1:12" s="1" customFormat="1" ht="12.75">
      <c r="A71" s="503"/>
      <c r="B71" s="504"/>
      <c r="C71" s="436"/>
      <c r="D71" s="436"/>
      <c r="E71" s="443"/>
      <c r="F71" s="424">
        <f t="shared" si="4"/>
        <v>0</v>
      </c>
      <c r="G71" s="402"/>
      <c r="H71" s="403"/>
      <c r="I71" s="404">
        <f t="shared" si="5"/>
      </c>
      <c r="J71" s="505"/>
      <c r="K71" s="199"/>
      <c r="L71" s="199"/>
    </row>
    <row r="72" spans="1:12" ht="13.5" thickBot="1">
      <c r="A72" s="499"/>
      <c r="B72" s="499"/>
      <c r="C72" s="450"/>
      <c r="D72" s="459"/>
      <c r="E72" s="460" t="s">
        <v>570</v>
      </c>
      <c r="F72" s="508">
        <f>SUM(F52:F71)</f>
        <v>0</v>
      </c>
      <c r="G72" s="402"/>
      <c r="H72" s="432"/>
      <c r="I72" s="508">
        <f>SUM(I52:I71)</f>
        <v>0</v>
      </c>
      <c r="J72" s="402"/>
      <c r="K72" s="199"/>
      <c r="L72" s="199"/>
    </row>
    <row r="73" spans="1:12" ht="13.5" thickTop="1">
      <c r="A73" s="499"/>
      <c r="B73" s="499"/>
      <c r="C73" s="450"/>
      <c r="D73" s="459"/>
      <c r="E73" s="460"/>
      <c r="F73" s="402"/>
      <c r="G73" s="402"/>
      <c r="H73" s="432"/>
      <c r="I73" s="402"/>
      <c r="J73" s="402"/>
      <c r="K73" s="199"/>
      <c r="L73" s="199"/>
    </row>
    <row r="74" spans="1:12" ht="12.75">
      <c r="A74" s="499"/>
      <c r="B74" s="499"/>
      <c r="C74" s="450"/>
      <c r="D74" s="459"/>
      <c r="E74" s="460"/>
      <c r="F74" s="402"/>
      <c r="G74" s="402"/>
      <c r="H74" s="432"/>
      <c r="I74" s="402"/>
      <c r="J74" s="402"/>
      <c r="K74" s="199"/>
      <c r="L74" s="199"/>
    </row>
    <row r="75" spans="1:12" ht="12.75">
      <c r="A75" s="395">
        <v>449082</v>
      </c>
      <c r="B75" s="499" t="s">
        <v>414</v>
      </c>
      <c r="C75" s="458" t="s">
        <v>422</v>
      </c>
      <c r="D75" s="500" t="s">
        <v>423</v>
      </c>
      <c r="E75" s="458" t="s">
        <v>424</v>
      </c>
      <c r="F75" s="458" t="s">
        <v>425</v>
      </c>
      <c r="G75" s="458"/>
      <c r="H75" s="499"/>
      <c r="I75" s="499"/>
      <c r="J75" s="499"/>
      <c r="K75" s="199"/>
      <c r="L75" s="199"/>
    </row>
    <row r="76" spans="1:12" s="1" customFormat="1" ht="12.75">
      <c r="A76" s="503"/>
      <c r="B76" s="504"/>
      <c r="C76" s="436"/>
      <c r="D76" s="436"/>
      <c r="E76" s="443"/>
      <c r="F76" s="400">
        <f aca="true" t="shared" si="6" ref="F76:F95">IF(D76=0,(IF(C76=0,E76,C76*E76)),(IF(C76=0,E76*D76,C76*D76*E76)))</f>
        <v>0</v>
      </c>
      <c r="G76" s="402"/>
      <c r="H76" s="403"/>
      <c r="I76" s="404">
        <f>IF(H76&lt;&gt;"",(F76*mva)-F76,"")</f>
      </c>
      <c r="J76" s="505"/>
      <c r="K76" s="199"/>
      <c r="L76" s="199"/>
    </row>
    <row r="77" spans="1:12" s="1" customFormat="1" ht="12.75">
      <c r="A77" s="503"/>
      <c r="B77" s="504"/>
      <c r="C77" s="436"/>
      <c r="D77" s="436"/>
      <c r="E77" s="443"/>
      <c r="F77" s="406">
        <f t="shared" si="6"/>
        <v>0</v>
      </c>
      <c r="G77" s="402"/>
      <c r="H77" s="403"/>
      <c r="I77" s="404">
        <f aca="true" t="shared" si="7" ref="I77:I95">IF(H77&lt;&gt;"",(F77*mva)-F77,"")</f>
      </c>
      <c r="J77" s="505"/>
      <c r="K77" s="199"/>
      <c r="L77" s="199"/>
    </row>
    <row r="78" spans="1:12" s="1" customFormat="1" ht="12.75">
      <c r="A78" s="503"/>
      <c r="B78" s="504"/>
      <c r="C78" s="436"/>
      <c r="D78" s="436"/>
      <c r="E78" s="443"/>
      <c r="F78" s="406">
        <f t="shared" si="6"/>
        <v>0</v>
      </c>
      <c r="G78" s="402"/>
      <c r="H78" s="403"/>
      <c r="I78" s="404">
        <f t="shared" si="7"/>
      </c>
      <c r="J78" s="505"/>
      <c r="K78" s="199"/>
      <c r="L78" s="199"/>
    </row>
    <row r="79" spans="1:12" s="1" customFormat="1" ht="12.75">
      <c r="A79" s="503"/>
      <c r="B79" s="504"/>
      <c r="C79" s="436"/>
      <c r="D79" s="436"/>
      <c r="E79" s="443"/>
      <c r="F79" s="406">
        <f t="shared" si="6"/>
        <v>0</v>
      </c>
      <c r="G79" s="402"/>
      <c r="H79" s="403"/>
      <c r="I79" s="404">
        <f t="shared" si="7"/>
      </c>
      <c r="J79" s="505"/>
      <c r="K79" s="199"/>
      <c r="L79" s="199"/>
    </row>
    <row r="80" spans="1:12" s="1" customFormat="1" ht="12.75">
      <c r="A80" s="503"/>
      <c r="B80" s="504"/>
      <c r="C80" s="436"/>
      <c r="D80" s="436"/>
      <c r="E80" s="443"/>
      <c r="F80" s="406">
        <f t="shared" si="6"/>
        <v>0</v>
      </c>
      <c r="G80" s="402"/>
      <c r="H80" s="403"/>
      <c r="I80" s="404">
        <f t="shared" si="7"/>
      </c>
      <c r="J80" s="505"/>
      <c r="K80" s="199"/>
      <c r="L80" s="199"/>
    </row>
    <row r="81" spans="1:12" s="1" customFormat="1" ht="12.75">
      <c r="A81" s="503"/>
      <c r="B81" s="504"/>
      <c r="C81" s="436"/>
      <c r="D81" s="436"/>
      <c r="E81" s="443"/>
      <c r="F81" s="406">
        <f t="shared" si="6"/>
        <v>0</v>
      </c>
      <c r="G81" s="402"/>
      <c r="H81" s="403"/>
      <c r="I81" s="404">
        <f t="shared" si="7"/>
      </c>
      <c r="J81" s="505"/>
      <c r="K81" s="199"/>
      <c r="L81" s="199"/>
    </row>
    <row r="82" spans="1:12" s="1" customFormat="1" ht="12.75">
      <c r="A82" s="503"/>
      <c r="B82" s="504"/>
      <c r="C82" s="436"/>
      <c r="D82" s="436"/>
      <c r="E82" s="443"/>
      <c r="F82" s="406">
        <f t="shared" si="6"/>
        <v>0</v>
      </c>
      <c r="G82" s="402"/>
      <c r="H82" s="403"/>
      <c r="I82" s="404">
        <f t="shared" si="7"/>
      </c>
      <c r="J82" s="505"/>
      <c r="K82" s="199"/>
      <c r="L82" s="199"/>
    </row>
    <row r="83" spans="1:12" s="1" customFormat="1" ht="12.75">
      <c r="A83" s="503"/>
      <c r="B83" s="504"/>
      <c r="C83" s="436"/>
      <c r="D83" s="436"/>
      <c r="E83" s="443"/>
      <c r="F83" s="406">
        <f t="shared" si="6"/>
        <v>0</v>
      </c>
      <c r="G83" s="402"/>
      <c r="H83" s="403"/>
      <c r="I83" s="404">
        <f t="shared" si="7"/>
      </c>
      <c r="J83" s="505"/>
      <c r="K83" s="199"/>
      <c r="L83" s="199"/>
    </row>
    <row r="84" spans="1:12" s="1" customFormat="1" ht="12.75">
      <c r="A84" s="503"/>
      <c r="B84" s="504"/>
      <c r="C84" s="436"/>
      <c r="D84" s="436"/>
      <c r="E84" s="443"/>
      <c r="F84" s="406">
        <f t="shared" si="6"/>
        <v>0</v>
      </c>
      <c r="G84" s="402"/>
      <c r="H84" s="403"/>
      <c r="I84" s="404">
        <f t="shared" si="7"/>
      </c>
      <c r="J84" s="505"/>
      <c r="K84" s="199"/>
      <c r="L84" s="199"/>
    </row>
    <row r="85" spans="1:12" s="1" customFormat="1" ht="12.75">
      <c r="A85" s="503"/>
      <c r="B85" s="504"/>
      <c r="C85" s="436"/>
      <c r="D85" s="436"/>
      <c r="E85" s="443"/>
      <c r="F85" s="406">
        <f t="shared" si="6"/>
        <v>0</v>
      </c>
      <c r="G85" s="402"/>
      <c r="H85" s="403"/>
      <c r="I85" s="404">
        <f t="shared" si="7"/>
      </c>
      <c r="J85" s="505"/>
      <c r="K85" s="199"/>
      <c r="L85" s="199"/>
    </row>
    <row r="86" spans="1:12" s="1" customFormat="1" ht="12.75">
      <c r="A86" s="503"/>
      <c r="B86" s="504"/>
      <c r="C86" s="436"/>
      <c r="D86" s="436"/>
      <c r="E86" s="443"/>
      <c r="F86" s="406">
        <f t="shared" si="6"/>
        <v>0</v>
      </c>
      <c r="G86" s="402"/>
      <c r="H86" s="403"/>
      <c r="I86" s="404">
        <f t="shared" si="7"/>
      </c>
      <c r="J86" s="505"/>
      <c r="K86" s="199"/>
      <c r="L86" s="199"/>
    </row>
    <row r="87" spans="1:12" s="1" customFormat="1" ht="12.75">
      <c r="A87" s="503"/>
      <c r="B87" s="504"/>
      <c r="C87" s="436"/>
      <c r="D87" s="436"/>
      <c r="E87" s="443"/>
      <c r="F87" s="406">
        <f t="shared" si="6"/>
        <v>0</v>
      </c>
      <c r="G87" s="402"/>
      <c r="H87" s="403"/>
      <c r="I87" s="404">
        <f t="shared" si="7"/>
      </c>
      <c r="J87" s="505"/>
      <c r="K87" s="199"/>
      <c r="L87" s="199"/>
    </row>
    <row r="88" spans="1:12" s="1" customFormat="1" ht="12.75">
      <c r="A88" s="503"/>
      <c r="B88" s="504"/>
      <c r="C88" s="436"/>
      <c r="D88" s="436"/>
      <c r="E88" s="443"/>
      <c r="F88" s="406">
        <f t="shared" si="6"/>
        <v>0</v>
      </c>
      <c r="G88" s="402"/>
      <c r="H88" s="403"/>
      <c r="I88" s="404">
        <f t="shared" si="7"/>
      </c>
      <c r="J88" s="505"/>
      <c r="K88" s="199"/>
      <c r="L88" s="199"/>
    </row>
    <row r="89" spans="1:12" s="1" customFormat="1" ht="12.75">
      <c r="A89" s="503"/>
      <c r="B89" s="504"/>
      <c r="C89" s="436"/>
      <c r="D89" s="436"/>
      <c r="E89" s="443"/>
      <c r="F89" s="406">
        <f t="shared" si="6"/>
        <v>0</v>
      </c>
      <c r="G89" s="402"/>
      <c r="H89" s="403"/>
      <c r="I89" s="404">
        <f t="shared" si="7"/>
      </c>
      <c r="J89" s="505"/>
      <c r="K89" s="199"/>
      <c r="L89" s="199"/>
    </row>
    <row r="90" spans="1:12" s="1" customFormat="1" ht="12.75">
      <c r="A90" s="503"/>
      <c r="B90" s="504"/>
      <c r="C90" s="436"/>
      <c r="D90" s="436"/>
      <c r="E90" s="443"/>
      <c r="F90" s="406">
        <f t="shared" si="6"/>
        <v>0</v>
      </c>
      <c r="G90" s="402"/>
      <c r="H90" s="403"/>
      <c r="I90" s="404">
        <f t="shared" si="7"/>
      </c>
      <c r="J90" s="505"/>
      <c r="K90" s="199"/>
      <c r="L90" s="199"/>
    </row>
    <row r="91" spans="1:12" s="1" customFormat="1" ht="12.75">
      <c r="A91" s="503"/>
      <c r="B91" s="504"/>
      <c r="C91" s="436"/>
      <c r="D91" s="436"/>
      <c r="E91" s="443"/>
      <c r="F91" s="406">
        <f t="shared" si="6"/>
        <v>0</v>
      </c>
      <c r="G91" s="402"/>
      <c r="H91" s="403"/>
      <c r="I91" s="404">
        <f t="shared" si="7"/>
      </c>
      <c r="J91" s="505"/>
      <c r="K91" s="199"/>
      <c r="L91" s="199"/>
    </row>
    <row r="92" spans="1:12" s="1" customFormat="1" ht="12.75">
      <c r="A92" s="503"/>
      <c r="B92" s="504"/>
      <c r="C92" s="436"/>
      <c r="D92" s="436"/>
      <c r="E92" s="443"/>
      <c r="F92" s="406">
        <f t="shared" si="6"/>
        <v>0</v>
      </c>
      <c r="G92" s="402"/>
      <c r="H92" s="403"/>
      <c r="I92" s="404">
        <f t="shared" si="7"/>
      </c>
      <c r="J92" s="505"/>
      <c r="K92" s="199"/>
      <c r="L92" s="199"/>
    </row>
    <row r="93" spans="1:12" s="1" customFormat="1" ht="12.75">
      <c r="A93" s="503"/>
      <c r="B93" s="504"/>
      <c r="C93" s="436"/>
      <c r="D93" s="436"/>
      <c r="E93" s="443"/>
      <c r="F93" s="406">
        <f t="shared" si="6"/>
        <v>0</v>
      </c>
      <c r="G93" s="402"/>
      <c r="H93" s="403"/>
      <c r="I93" s="404">
        <f t="shared" si="7"/>
      </c>
      <c r="J93" s="505"/>
      <c r="K93" s="199"/>
      <c r="L93" s="199"/>
    </row>
    <row r="94" spans="1:12" s="1" customFormat="1" ht="12.75">
      <c r="A94" s="503"/>
      <c r="B94" s="504"/>
      <c r="C94" s="436"/>
      <c r="D94" s="436"/>
      <c r="E94" s="443"/>
      <c r="F94" s="406">
        <f t="shared" si="6"/>
        <v>0</v>
      </c>
      <c r="G94" s="402"/>
      <c r="H94" s="403"/>
      <c r="I94" s="404">
        <f t="shared" si="7"/>
      </c>
      <c r="J94" s="505"/>
      <c r="K94" s="199"/>
      <c r="L94" s="199"/>
    </row>
    <row r="95" spans="1:12" s="1" customFormat="1" ht="12.75">
      <c r="A95" s="503"/>
      <c r="B95" s="504"/>
      <c r="C95" s="436"/>
      <c r="D95" s="436"/>
      <c r="E95" s="443"/>
      <c r="F95" s="424">
        <f t="shared" si="6"/>
        <v>0</v>
      </c>
      <c r="G95" s="402"/>
      <c r="H95" s="403"/>
      <c r="I95" s="404">
        <f t="shared" si="7"/>
      </c>
      <c r="J95" s="505"/>
      <c r="K95" s="199"/>
      <c r="L95" s="199"/>
    </row>
    <row r="96" spans="1:12" ht="13.5" thickBot="1">
      <c r="A96" s="499"/>
      <c r="B96" s="499"/>
      <c r="C96" s="450"/>
      <c r="D96" s="459"/>
      <c r="E96" s="460" t="s">
        <v>570</v>
      </c>
      <c r="F96" s="508">
        <f>SUM(F76:F95)</f>
        <v>0</v>
      </c>
      <c r="G96" s="402"/>
      <c r="H96" s="432"/>
      <c r="I96" s="508">
        <f>SUM(I76:I95)</f>
        <v>0</v>
      </c>
      <c r="J96" s="402"/>
      <c r="K96" s="199"/>
      <c r="L96" s="199"/>
    </row>
    <row r="97" spans="1:12" ht="13.5" thickTop="1">
      <c r="A97" s="499"/>
      <c r="B97" s="499"/>
      <c r="C97" s="450"/>
      <c r="D97" s="459"/>
      <c r="E97" s="460"/>
      <c r="F97" s="402"/>
      <c r="G97" s="402"/>
      <c r="H97" s="432"/>
      <c r="I97" s="402"/>
      <c r="J97" s="402"/>
      <c r="K97" s="199"/>
      <c r="L97" s="199"/>
    </row>
    <row r="98" spans="1:12" ht="12.75">
      <c r="A98" s="499"/>
      <c r="B98" s="499"/>
      <c r="C98" s="450"/>
      <c r="D98" s="459"/>
      <c r="E98" s="460"/>
      <c r="F98" s="402"/>
      <c r="G98" s="402"/>
      <c r="H98" s="432"/>
      <c r="I98" s="402"/>
      <c r="J98" s="402"/>
      <c r="K98" s="199"/>
      <c r="L98" s="199"/>
    </row>
    <row r="99" spans="1:12" ht="12.75">
      <c r="A99" s="395">
        <v>449093</v>
      </c>
      <c r="B99" s="499" t="s">
        <v>663</v>
      </c>
      <c r="C99" s="458" t="s">
        <v>422</v>
      </c>
      <c r="D99" s="500" t="s">
        <v>423</v>
      </c>
      <c r="E99" s="458" t="s">
        <v>424</v>
      </c>
      <c r="F99" s="458" t="s">
        <v>425</v>
      </c>
      <c r="G99" s="458"/>
      <c r="H99" s="499"/>
      <c r="I99" s="499"/>
      <c r="J99" s="499"/>
      <c r="K99" s="199"/>
      <c r="L99" s="199"/>
    </row>
    <row r="100" spans="1:12" s="1" customFormat="1" ht="12.75">
      <c r="A100" s="503"/>
      <c r="B100" s="504"/>
      <c r="C100" s="436"/>
      <c r="D100" s="436"/>
      <c r="E100" s="443"/>
      <c r="F100" s="400">
        <f aca="true" t="shared" si="8" ref="F100:F119">IF(D100=0,(IF(C100=0,E100,C100*E100)),(IF(C100=0,E100*D100,C100*D100*E100)))</f>
        <v>0</v>
      </c>
      <c r="G100" s="402"/>
      <c r="H100" s="403"/>
      <c r="I100" s="404">
        <f>IF(H100&lt;&gt;"",(F100*mvalav)-F100,"")</f>
      </c>
      <c r="J100" s="505"/>
      <c r="K100" s="199"/>
      <c r="L100" s="199"/>
    </row>
    <row r="101" spans="1:12" s="1" customFormat="1" ht="12.75">
      <c r="A101" s="503"/>
      <c r="B101" s="504"/>
      <c r="C101" s="436"/>
      <c r="D101" s="436"/>
      <c r="E101" s="443"/>
      <c r="F101" s="406">
        <f t="shared" si="8"/>
        <v>0</v>
      </c>
      <c r="G101" s="402"/>
      <c r="H101" s="403"/>
      <c r="I101" s="404">
        <f aca="true" t="shared" si="9" ref="I101:I119">IF(H101&lt;&gt;"",(F101*mvalav)-F101,"")</f>
      </c>
      <c r="J101" s="505"/>
      <c r="K101" s="199"/>
      <c r="L101" s="199"/>
    </row>
    <row r="102" spans="1:12" s="1" customFormat="1" ht="12.75">
      <c r="A102" s="503"/>
      <c r="B102" s="504"/>
      <c r="C102" s="436"/>
      <c r="D102" s="436"/>
      <c r="E102" s="443"/>
      <c r="F102" s="406">
        <f t="shared" si="8"/>
        <v>0</v>
      </c>
      <c r="G102" s="402"/>
      <c r="H102" s="403"/>
      <c r="I102" s="404">
        <f t="shared" si="9"/>
      </c>
      <c r="J102" s="505"/>
      <c r="K102" s="199"/>
      <c r="L102" s="199"/>
    </row>
    <row r="103" spans="1:12" s="1" customFormat="1" ht="12.75">
      <c r="A103" s="503"/>
      <c r="B103" s="504"/>
      <c r="C103" s="436"/>
      <c r="D103" s="436"/>
      <c r="E103" s="443"/>
      <c r="F103" s="406">
        <f t="shared" si="8"/>
        <v>0</v>
      </c>
      <c r="G103" s="402"/>
      <c r="H103" s="403"/>
      <c r="I103" s="404">
        <f t="shared" si="9"/>
      </c>
      <c r="J103" s="505"/>
      <c r="K103" s="199"/>
      <c r="L103" s="199"/>
    </row>
    <row r="104" spans="1:12" s="1" customFormat="1" ht="12.75">
      <c r="A104" s="503"/>
      <c r="B104" s="504"/>
      <c r="C104" s="436"/>
      <c r="D104" s="436"/>
      <c r="E104" s="443"/>
      <c r="F104" s="406">
        <f t="shared" si="8"/>
        <v>0</v>
      </c>
      <c r="G104" s="402"/>
      <c r="H104" s="403"/>
      <c r="I104" s="404">
        <f t="shared" si="9"/>
      </c>
      <c r="J104" s="505"/>
      <c r="K104" s="199"/>
      <c r="L104" s="199"/>
    </row>
    <row r="105" spans="1:12" s="1" customFormat="1" ht="12.75">
      <c r="A105" s="503"/>
      <c r="B105" s="504"/>
      <c r="C105" s="436"/>
      <c r="D105" s="436"/>
      <c r="E105" s="443"/>
      <c r="F105" s="406">
        <f t="shared" si="8"/>
        <v>0</v>
      </c>
      <c r="G105" s="402"/>
      <c r="H105" s="403"/>
      <c r="I105" s="404">
        <f t="shared" si="9"/>
      </c>
      <c r="J105" s="505"/>
      <c r="K105" s="199"/>
      <c r="L105" s="199"/>
    </row>
    <row r="106" spans="1:12" s="1" customFormat="1" ht="12.75">
      <c r="A106" s="503"/>
      <c r="B106" s="504"/>
      <c r="C106" s="436"/>
      <c r="D106" s="436"/>
      <c r="E106" s="443"/>
      <c r="F106" s="406">
        <f t="shared" si="8"/>
        <v>0</v>
      </c>
      <c r="G106" s="402"/>
      <c r="H106" s="403"/>
      <c r="I106" s="404">
        <f t="shared" si="9"/>
      </c>
      <c r="J106" s="505"/>
      <c r="K106" s="199"/>
      <c r="L106" s="199"/>
    </row>
    <row r="107" spans="1:12" s="1" customFormat="1" ht="12.75">
      <c r="A107" s="503"/>
      <c r="B107" s="504"/>
      <c r="C107" s="436"/>
      <c r="D107" s="436"/>
      <c r="E107" s="443"/>
      <c r="F107" s="406">
        <f t="shared" si="8"/>
        <v>0</v>
      </c>
      <c r="G107" s="402"/>
      <c r="H107" s="403"/>
      <c r="I107" s="404">
        <f t="shared" si="9"/>
      </c>
      <c r="J107" s="505"/>
      <c r="K107" s="199"/>
      <c r="L107" s="199"/>
    </row>
    <row r="108" spans="1:12" s="1" customFormat="1" ht="12.75">
      <c r="A108" s="503"/>
      <c r="B108" s="504"/>
      <c r="C108" s="436"/>
      <c r="D108" s="436"/>
      <c r="E108" s="443"/>
      <c r="F108" s="406">
        <f t="shared" si="8"/>
        <v>0</v>
      </c>
      <c r="G108" s="402"/>
      <c r="H108" s="403"/>
      <c r="I108" s="404">
        <f t="shared" si="9"/>
      </c>
      <c r="J108" s="505"/>
      <c r="K108" s="199"/>
      <c r="L108" s="199"/>
    </row>
    <row r="109" spans="1:12" s="1" customFormat="1" ht="12.75">
      <c r="A109" s="503"/>
      <c r="B109" s="504"/>
      <c r="C109" s="436"/>
      <c r="D109" s="436"/>
      <c r="E109" s="443"/>
      <c r="F109" s="406">
        <f t="shared" si="8"/>
        <v>0</v>
      </c>
      <c r="G109" s="402"/>
      <c r="H109" s="403"/>
      <c r="I109" s="404">
        <f t="shared" si="9"/>
      </c>
      <c r="J109" s="505"/>
      <c r="K109" s="199"/>
      <c r="L109" s="199"/>
    </row>
    <row r="110" spans="1:12" s="1" customFormat="1" ht="12.75">
      <c r="A110" s="503"/>
      <c r="B110" s="504"/>
      <c r="C110" s="436"/>
      <c r="D110" s="436"/>
      <c r="E110" s="443"/>
      <c r="F110" s="406">
        <f t="shared" si="8"/>
        <v>0</v>
      </c>
      <c r="G110" s="402"/>
      <c r="H110" s="403"/>
      <c r="I110" s="404">
        <f t="shared" si="9"/>
      </c>
      <c r="J110" s="505"/>
      <c r="K110" s="199"/>
      <c r="L110" s="199"/>
    </row>
    <row r="111" spans="1:12" s="1" customFormat="1" ht="12.75">
      <c r="A111" s="503"/>
      <c r="B111" s="504"/>
      <c r="C111" s="436"/>
      <c r="D111" s="436"/>
      <c r="E111" s="443"/>
      <c r="F111" s="406">
        <f t="shared" si="8"/>
        <v>0</v>
      </c>
      <c r="G111" s="402"/>
      <c r="H111" s="403"/>
      <c r="I111" s="404">
        <f t="shared" si="9"/>
      </c>
      <c r="J111" s="505"/>
      <c r="K111" s="199"/>
      <c r="L111" s="199"/>
    </row>
    <row r="112" spans="1:12" s="1" customFormat="1" ht="12.75">
      <c r="A112" s="503"/>
      <c r="B112" s="504"/>
      <c r="C112" s="436"/>
      <c r="D112" s="436"/>
      <c r="E112" s="443"/>
      <c r="F112" s="406">
        <f t="shared" si="8"/>
        <v>0</v>
      </c>
      <c r="G112" s="402"/>
      <c r="H112" s="403"/>
      <c r="I112" s="404">
        <f t="shared" si="9"/>
      </c>
      <c r="J112" s="505"/>
      <c r="K112" s="199"/>
      <c r="L112" s="199"/>
    </row>
    <row r="113" spans="1:12" s="1" customFormat="1" ht="12.75">
      <c r="A113" s="503"/>
      <c r="B113" s="504"/>
      <c r="C113" s="436"/>
      <c r="D113" s="436"/>
      <c r="E113" s="443"/>
      <c r="F113" s="406">
        <f t="shared" si="8"/>
        <v>0</v>
      </c>
      <c r="G113" s="402"/>
      <c r="H113" s="403"/>
      <c r="I113" s="404">
        <f t="shared" si="9"/>
      </c>
      <c r="J113" s="505"/>
      <c r="K113" s="199"/>
      <c r="L113" s="199"/>
    </row>
    <row r="114" spans="1:12" s="1" customFormat="1" ht="12.75">
      <c r="A114" s="503"/>
      <c r="B114" s="504"/>
      <c r="C114" s="436"/>
      <c r="D114" s="436"/>
      <c r="E114" s="443"/>
      <c r="F114" s="406">
        <f t="shared" si="8"/>
        <v>0</v>
      </c>
      <c r="G114" s="402"/>
      <c r="H114" s="403"/>
      <c r="I114" s="404">
        <f t="shared" si="9"/>
      </c>
      <c r="J114" s="505"/>
      <c r="K114" s="199"/>
      <c r="L114" s="199"/>
    </row>
    <row r="115" spans="1:12" s="1" customFormat="1" ht="12.75">
      <c r="A115" s="503"/>
      <c r="B115" s="504"/>
      <c r="C115" s="436"/>
      <c r="D115" s="436"/>
      <c r="E115" s="443"/>
      <c r="F115" s="406">
        <f t="shared" si="8"/>
        <v>0</v>
      </c>
      <c r="G115" s="402"/>
      <c r="H115" s="403"/>
      <c r="I115" s="404">
        <f t="shared" si="9"/>
      </c>
      <c r="J115" s="505"/>
      <c r="K115" s="199"/>
      <c r="L115" s="199"/>
    </row>
    <row r="116" spans="1:12" s="1" customFormat="1" ht="12.75">
      <c r="A116" s="503"/>
      <c r="B116" s="504"/>
      <c r="C116" s="436"/>
      <c r="D116" s="436"/>
      <c r="E116" s="443"/>
      <c r="F116" s="406">
        <f t="shared" si="8"/>
        <v>0</v>
      </c>
      <c r="G116" s="402"/>
      <c r="H116" s="403"/>
      <c r="I116" s="404">
        <f t="shared" si="9"/>
      </c>
      <c r="J116" s="505"/>
      <c r="K116" s="199"/>
      <c r="L116" s="199"/>
    </row>
    <row r="117" spans="1:12" s="1" customFormat="1" ht="12.75">
      <c r="A117" s="503"/>
      <c r="B117" s="504"/>
      <c r="C117" s="436"/>
      <c r="D117" s="436"/>
      <c r="E117" s="443"/>
      <c r="F117" s="406">
        <f t="shared" si="8"/>
        <v>0</v>
      </c>
      <c r="G117" s="402"/>
      <c r="H117" s="403"/>
      <c r="I117" s="404">
        <f t="shared" si="9"/>
      </c>
      <c r="J117" s="505"/>
      <c r="K117" s="199"/>
      <c r="L117" s="199"/>
    </row>
    <row r="118" spans="1:12" s="1" customFormat="1" ht="12.75">
      <c r="A118" s="503"/>
      <c r="B118" s="504"/>
      <c r="C118" s="436"/>
      <c r="D118" s="436"/>
      <c r="E118" s="443"/>
      <c r="F118" s="406">
        <f t="shared" si="8"/>
        <v>0</v>
      </c>
      <c r="G118" s="402"/>
      <c r="H118" s="403"/>
      <c r="I118" s="404">
        <f t="shared" si="9"/>
      </c>
      <c r="J118" s="505"/>
      <c r="K118" s="199"/>
      <c r="L118" s="199"/>
    </row>
    <row r="119" spans="1:12" s="1" customFormat="1" ht="12.75">
      <c r="A119" s="503"/>
      <c r="B119" s="504"/>
      <c r="C119" s="436"/>
      <c r="D119" s="436"/>
      <c r="E119" s="443"/>
      <c r="F119" s="424">
        <f t="shared" si="8"/>
        <v>0</v>
      </c>
      <c r="G119" s="402"/>
      <c r="H119" s="403"/>
      <c r="I119" s="404">
        <f t="shared" si="9"/>
      </c>
      <c r="J119" s="505"/>
      <c r="K119" s="199"/>
      <c r="L119" s="199"/>
    </row>
    <row r="120" spans="1:12" ht="13.5" thickBot="1">
      <c r="A120" s="499"/>
      <c r="B120" s="499"/>
      <c r="C120" s="450"/>
      <c r="D120" s="459"/>
      <c r="E120" s="460" t="s">
        <v>570</v>
      </c>
      <c r="F120" s="508">
        <f>SUM(F100:F119)</f>
        <v>0</v>
      </c>
      <c r="G120" s="402"/>
      <c r="H120" s="432"/>
      <c r="I120" s="508">
        <f>SUM(I100:I119)</f>
        <v>0</v>
      </c>
      <c r="J120" s="402"/>
      <c r="K120" s="199"/>
      <c r="L120" s="199"/>
    </row>
    <row r="121" spans="1:12" ht="13.5" thickTop="1">
      <c r="A121" s="499"/>
      <c r="B121" s="499"/>
      <c r="C121" s="450"/>
      <c r="D121" s="459"/>
      <c r="E121" s="460"/>
      <c r="F121" s="402"/>
      <c r="G121" s="402"/>
      <c r="H121" s="432"/>
      <c r="I121" s="402"/>
      <c r="J121" s="402"/>
      <c r="K121" s="199"/>
      <c r="L121" s="199"/>
    </row>
    <row r="122" spans="1:12" ht="12.75">
      <c r="A122" s="499"/>
      <c r="B122" s="499"/>
      <c r="C122" s="450"/>
      <c r="D122" s="459"/>
      <c r="E122" s="460"/>
      <c r="F122" s="402"/>
      <c r="G122" s="402"/>
      <c r="H122" s="432"/>
      <c r="I122" s="402"/>
      <c r="J122" s="402"/>
      <c r="K122" s="199"/>
      <c r="L122" s="199"/>
    </row>
    <row r="123" spans="1:12" ht="12.75">
      <c r="A123" s="395">
        <v>449098</v>
      </c>
      <c r="B123" s="499" t="s">
        <v>664</v>
      </c>
      <c r="C123" s="458" t="s">
        <v>422</v>
      </c>
      <c r="D123" s="500" t="s">
        <v>423</v>
      </c>
      <c r="E123" s="458" t="s">
        <v>424</v>
      </c>
      <c r="F123" s="458" t="s">
        <v>425</v>
      </c>
      <c r="G123" s="458"/>
      <c r="H123" s="499"/>
      <c r="I123" s="499"/>
      <c r="J123" s="499"/>
      <c r="K123" s="199"/>
      <c r="L123" s="199"/>
    </row>
    <row r="124" spans="1:12" s="1" customFormat="1" ht="12.75">
      <c r="A124" s="503"/>
      <c r="B124" s="504"/>
      <c r="C124" s="436"/>
      <c r="D124" s="436"/>
      <c r="E124" s="443"/>
      <c r="F124" s="400">
        <f aca="true" t="shared" si="10" ref="F124:F143">IF(D124=0,(IF(C124=0,E124,C124*E124)),(IF(C124=0,E124*D124,C124*D124*E124)))</f>
        <v>0</v>
      </c>
      <c r="G124" s="402"/>
      <c r="H124" s="403"/>
      <c r="I124" s="404">
        <f>IF(H124&lt;&gt;"",(F124*mva)-F124,"")</f>
      </c>
      <c r="J124" s="505"/>
      <c r="K124" s="199"/>
      <c r="L124" s="199"/>
    </row>
    <row r="125" spans="1:12" s="1" customFormat="1" ht="12.75">
      <c r="A125" s="503"/>
      <c r="B125" s="504"/>
      <c r="C125" s="436"/>
      <c r="D125" s="436"/>
      <c r="E125" s="443"/>
      <c r="F125" s="406">
        <f t="shared" si="10"/>
        <v>0</v>
      </c>
      <c r="G125" s="402"/>
      <c r="H125" s="403"/>
      <c r="I125" s="404">
        <f aca="true" t="shared" si="11" ref="I125:I143">IF(H125&lt;&gt;"",(F125*mva)-F125,"")</f>
      </c>
      <c r="J125" s="505"/>
      <c r="K125" s="199"/>
      <c r="L125" s="199"/>
    </row>
    <row r="126" spans="1:12" s="1" customFormat="1" ht="12.75">
      <c r="A126" s="503"/>
      <c r="B126" s="504"/>
      <c r="C126" s="436"/>
      <c r="D126" s="436"/>
      <c r="E126" s="443"/>
      <c r="F126" s="406">
        <f t="shared" si="10"/>
        <v>0</v>
      </c>
      <c r="G126" s="402"/>
      <c r="H126" s="403"/>
      <c r="I126" s="404">
        <f t="shared" si="11"/>
      </c>
      <c r="J126" s="505"/>
      <c r="K126" s="199"/>
      <c r="L126" s="199"/>
    </row>
    <row r="127" spans="1:12" s="1" customFormat="1" ht="12.75">
      <c r="A127" s="503"/>
      <c r="B127" s="504"/>
      <c r="C127" s="436"/>
      <c r="D127" s="436"/>
      <c r="E127" s="443"/>
      <c r="F127" s="406">
        <f t="shared" si="10"/>
        <v>0</v>
      </c>
      <c r="G127" s="402"/>
      <c r="H127" s="403"/>
      <c r="I127" s="404">
        <f t="shared" si="11"/>
      </c>
      <c r="J127" s="505"/>
      <c r="K127" s="199"/>
      <c r="L127" s="199"/>
    </row>
    <row r="128" spans="1:12" s="1" customFormat="1" ht="12.75">
      <c r="A128" s="503"/>
      <c r="B128" s="504"/>
      <c r="C128" s="436"/>
      <c r="D128" s="436"/>
      <c r="E128" s="443"/>
      <c r="F128" s="406">
        <f t="shared" si="10"/>
        <v>0</v>
      </c>
      <c r="G128" s="402"/>
      <c r="H128" s="403"/>
      <c r="I128" s="404">
        <f t="shared" si="11"/>
      </c>
      <c r="J128" s="505"/>
      <c r="K128" s="199"/>
      <c r="L128" s="199"/>
    </row>
    <row r="129" spans="1:12" s="1" customFormat="1" ht="12.75">
      <c r="A129" s="503"/>
      <c r="B129" s="504"/>
      <c r="C129" s="436"/>
      <c r="D129" s="436"/>
      <c r="E129" s="443"/>
      <c r="F129" s="406">
        <f t="shared" si="10"/>
        <v>0</v>
      </c>
      <c r="G129" s="402"/>
      <c r="H129" s="403"/>
      <c r="I129" s="404">
        <f t="shared" si="11"/>
      </c>
      <c r="J129" s="505"/>
      <c r="K129" s="199"/>
      <c r="L129" s="199"/>
    </row>
    <row r="130" spans="1:12" s="1" customFormat="1" ht="12.75">
      <c r="A130" s="503"/>
      <c r="B130" s="504"/>
      <c r="C130" s="436"/>
      <c r="D130" s="436"/>
      <c r="E130" s="443"/>
      <c r="F130" s="406">
        <f t="shared" si="10"/>
        <v>0</v>
      </c>
      <c r="G130" s="402"/>
      <c r="H130" s="403"/>
      <c r="I130" s="404">
        <f t="shared" si="11"/>
      </c>
      <c r="J130" s="505"/>
      <c r="K130" s="199"/>
      <c r="L130" s="199"/>
    </row>
    <row r="131" spans="1:12" s="1" customFormat="1" ht="12.75">
      <c r="A131" s="503"/>
      <c r="B131" s="504"/>
      <c r="C131" s="436"/>
      <c r="D131" s="436"/>
      <c r="E131" s="443"/>
      <c r="F131" s="406">
        <f t="shared" si="10"/>
        <v>0</v>
      </c>
      <c r="G131" s="402"/>
      <c r="H131" s="403"/>
      <c r="I131" s="404">
        <f t="shared" si="11"/>
      </c>
      <c r="J131" s="505"/>
      <c r="K131" s="199"/>
      <c r="L131" s="199"/>
    </row>
    <row r="132" spans="1:12" s="1" customFormat="1" ht="12.75">
      <c r="A132" s="503"/>
      <c r="B132" s="504"/>
      <c r="C132" s="436"/>
      <c r="D132" s="436"/>
      <c r="E132" s="443"/>
      <c r="F132" s="406">
        <f t="shared" si="10"/>
        <v>0</v>
      </c>
      <c r="G132" s="402"/>
      <c r="H132" s="403"/>
      <c r="I132" s="404">
        <f t="shared" si="11"/>
      </c>
      <c r="J132" s="505"/>
      <c r="K132" s="199"/>
      <c r="L132" s="199"/>
    </row>
    <row r="133" spans="1:12" s="1" customFormat="1" ht="12.75">
      <c r="A133" s="503"/>
      <c r="B133" s="504"/>
      <c r="C133" s="436"/>
      <c r="D133" s="436"/>
      <c r="E133" s="443"/>
      <c r="F133" s="406">
        <f t="shared" si="10"/>
        <v>0</v>
      </c>
      <c r="G133" s="402"/>
      <c r="H133" s="403"/>
      <c r="I133" s="404">
        <f t="shared" si="11"/>
      </c>
      <c r="J133" s="505"/>
      <c r="K133" s="199"/>
      <c r="L133" s="199"/>
    </row>
    <row r="134" spans="1:12" s="1" customFormat="1" ht="12.75">
      <c r="A134" s="503"/>
      <c r="B134" s="504"/>
      <c r="C134" s="436"/>
      <c r="D134" s="436"/>
      <c r="E134" s="443"/>
      <c r="F134" s="406">
        <f t="shared" si="10"/>
        <v>0</v>
      </c>
      <c r="G134" s="402"/>
      <c r="H134" s="403"/>
      <c r="I134" s="404">
        <f t="shared" si="11"/>
      </c>
      <c r="J134" s="505"/>
      <c r="K134" s="199"/>
      <c r="L134" s="199"/>
    </row>
    <row r="135" spans="1:12" s="1" customFormat="1" ht="12.75">
      <c r="A135" s="503"/>
      <c r="B135" s="504"/>
      <c r="C135" s="436"/>
      <c r="D135" s="436"/>
      <c r="E135" s="443"/>
      <c r="F135" s="406">
        <f t="shared" si="10"/>
        <v>0</v>
      </c>
      <c r="G135" s="402"/>
      <c r="H135" s="403"/>
      <c r="I135" s="404">
        <f t="shared" si="11"/>
      </c>
      <c r="J135" s="505"/>
      <c r="K135" s="199"/>
      <c r="L135" s="199"/>
    </row>
    <row r="136" spans="1:12" s="1" customFormat="1" ht="12.75">
      <c r="A136" s="503"/>
      <c r="B136" s="504"/>
      <c r="C136" s="436"/>
      <c r="D136" s="436"/>
      <c r="E136" s="443"/>
      <c r="F136" s="406">
        <f t="shared" si="10"/>
        <v>0</v>
      </c>
      <c r="G136" s="402"/>
      <c r="H136" s="403"/>
      <c r="I136" s="404">
        <f t="shared" si="11"/>
      </c>
      <c r="J136" s="505"/>
      <c r="K136" s="199"/>
      <c r="L136" s="199"/>
    </row>
    <row r="137" spans="1:12" s="1" customFormat="1" ht="12.75">
      <c r="A137" s="503"/>
      <c r="B137" s="504"/>
      <c r="C137" s="436"/>
      <c r="D137" s="436"/>
      <c r="E137" s="443"/>
      <c r="F137" s="406">
        <f t="shared" si="10"/>
        <v>0</v>
      </c>
      <c r="G137" s="402"/>
      <c r="H137" s="403"/>
      <c r="I137" s="404">
        <f t="shared" si="11"/>
      </c>
      <c r="J137" s="505"/>
      <c r="K137" s="199"/>
      <c r="L137" s="199"/>
    </row>
    <row r="138" spans="1:12" s="1" customFormat="1" ht="12.75">
      <c r="A138" s="503"/>
      <c r="B138" s="504"/>
      <c r="C138" s="436"/>
      <c r="D138" s="436"/>
      <c r="E138" s="443"/>
      <c r="F138" s="406">
        <f t="shared" si="10"/>
        <v>0</v>
      </c>
      <c r="G138" s="402"/>
      <c r="H138" s="403"/>
      <c r="I138" s="404">
        <f t="shared" si="11"/>
      </c>
      <c r="J138" s="505"/>
      <c r="K138" s="199"/>
      <c r="L138" s="199"/>
    </row>
    <row r="139" spans="1:12" s="1" customFormat="1" ht="12.75">
      <c r="A139" s="503"/>
      <c r="B139" s="504"/>
      <c r="C139" s="436"/>
      <c r="D139" s="436"/>
      <c r="E139" s="443"/>
      <c r="F139" s="406">
        <f t="shared" si="10"/>
        <v>0</v>
      </c>
      <c r="G139" s="402"/>
      <c r="H139" s="403"/>
      <c r="I139" s="404">
        <f t="shared" si="11"/>
      </c>
      <c r="J139" s="505"/>
      <c r="K139" s="199"/>
      <c r="L139" s="199"/>
    </row>
    <row r="140" spans="1:12" s="1" customFormat="1" ht="12.75">
      <c r="A140" s="503"/>
      <c r="B140" s="504"/>
      <c r="C140" s="436"/>
      <c r="D140" s="436"/>
      <c r="E140" s="443"/>
      <c r="F140" s="406">
        <f t="shared" si="10"/>
        <v>0</v>
      </c>
      <c r="G140" s="402"/>
      <c r="H140" s="403"/>
      <c r="I140" s="404">
        <f t="shared" si="11"/>
      </c>
      <c r="J140" s="505"/>
      <c r="K140" s="199"/>
      <c r="L140" s="199"/>
    </row>
    <row r="141" spans="1:12" s="1" customFormat="1" ht="12.75">
      <c r="A141" s="503"/>
      <c r="B141" s="504"/>
      <c r="C141" s="436"/>
      <c r="D141" s="436"/>
      <c r="E141" s="443"/>
      <c r="F141" s="406">
        <f t="shared" si="10"/>
        <v>0</v>
      </c>
      <c r="G141" s="402"/>
      <c r="H141" s="403"/>
      <c r="I141" s="404">
        <f t="shared" si="11"/>
      </c>
      <c r="J141" s="505"/>
      <c r="K141" s="199"/>
      <c r="L141" s="199"/>
    </row>
    <row r="142" spans="1:12" s="1" customFormat="1" ht="12.75">
      <c r="A142" s="503"/>
      <c r="B142" s="504"/>
      <c r="C142" s="436"/>
      <c r="D142" s="436"/>
      <c r="E142" s="443"/>
      <c r="F142" s="406">
        <f t="shared" si="10"/>
        <v>0</v>
      </c>
      <c r="G142" s="402"/>
      <c r="H142" s="403"/>
      <c r="I142" s="404">
        <f t="shared" si="11"/>
      </c>
      <c r="J142" s="505"/>
      <c r="K142" s="199"/>
      <c r="L142" s="199"/>
    </row>
    <row r="143" spans="1:12" s="1" customFormat="1" ht="12.75">
      <c r="A143" s="503"/>
      <c r="B143" s="504"/>
      <c r="C143" s="436"/>
      <c r="D143" s="436"/>
      <c r="E143" s="443"/>
      <c r="F143" s="424">
        <f t="shared" si="10"/>
        <v>0</v>
      </c>
      <c r="G143" s="402"/>
      <c r="H143" s="403"/>
      <c r="I143" s="404">
        <f t="shared" si="11"/>
      </c>
      <c r="J143" s="505"/>
      <c r="K143" s="199"/>
      <c r="L143" s="199"/>
    </row>
    <row r="144" spans="1:12" ht="13.5" thickBot="1">
      <c r="A144" s="499"/>
      <c r="B144" s="499"/>
      <c r="C144" s="450"/>
      <c r="D144" s="459"/>
      <c r="E144" s="460" t="s">
        <v>570</v>
      </c>
      <c r="F144" s="508">
        <f>SUM(F124:F143)</f>
        <v>0</v>
      </c>
      <c r="G144" s="402"/>
      <c r="H144" s="432"/>
      <c r="I144" s="508">
        <f>SUM(I124:I143)</f>
        <v>0</v>
      </c>
      <c r="J144" s="402"/>
      <c r="K144" s="199"/>
      <c r="L144" s="199"/>
    </row>
    <row r="145" spans="1:12" ht="13.5" thickTop="1">
      <c r="A145" s="499"/>
      <c r="B145" s="499"/>
      <c r="C145" s="450"/>
      <c r="D145" s="459"/>
      <c r="E145" s="460"/>
      <c r="F145" s="402"/>
      <c r="G145" s="402"/>
      <c r="H145" s="432"/>
      <c r="I145" s="402"/>
      <c r="J145" s="402"/>
      <c r="K145" s="199"/>
      <c r="L145" s="199"/>
    </row>
    <row r="146" spans="1:12" ht="12.75">
      <c r="A146" s="499"/>
      <c r="B146" s="499"/>
      <c r="C146" s="450"/>
      <c r="D146" s="459"/>
      <c r="E146" s="460"/>
      <c r="F146" s="402"/>
      <c r="G146" s="402"/>
      <c r="H146" s="432"/>
      <c r="I146" s="402"/>
      <c r="J146" s="402"/>
      <c r="K146" s="199"/>
      <c r="L146" s="199"/>
    </row>
    <row r="147" spans="1:12" ht="255" customHeight="1">
      <c r="A147" s="199"/>
      <c r="B147" s="199"/>
      <c r="C147" s="199"/>
      <c r="D147" s="199"/>
      <c r="E147" s="199"/>
      <c r="F147" s="199"/>
      <c r="G147" s="199"/>
      <c r="H147" s="199"/>
      <c r="I147" s="199"/>
      <c r="J147" s="199"/>
      <c r="K147" s="199"/>
      <c r="L147" s="199"/>
    </row>
    <row r="148" spans="1:12" ht="12.75">
      <c r="A148" s="199"/>
      <c r="B148" s="199"/>
      <c r="C148" s="199"/>
      <c r="D148" s="199"/>
      <c r="E148" s="199"/>
      <c r="F148" s="199"/>
      <c r="G148" s="199"/>
      <c r="H148" s="199"/>
      <c r="I148" s="199"/>
      <c r="J148" s="199"/>
      <c r="K148" s="199"/>
      <c r="L148" s="199"/>
    </row>
  </sheetData>
  <sheetProtection sheet="1" objects="1" scenarios="1"/>
  <conditionalFormatting sqref="H4:H23 H28:H47 H52:H71 H76:H95 H100:H119 H124:H143">
    <cfRule type="expression" priority="1" dxfId="0" stopIfTrue="1">
      <formula>ESTIMATSPES!#REF!=mva</formula>
    </cfRule>
  </conditionalFormatting>
  <dataValidations count="3">
    <dataValidation errorStyle="information" type="custom" allowBlank="1" showInputMessage="1" showErrorMessage="1" errorTitle="ADVARSEL" error="Det er allerede krysset av for MVA på denne posten.&#10;&#10;Om du allikevel vil legge inn noe her, velg &quot; OK&quot;" sqref="D4:D23 D28:D47 D52:D71 D76:D95 D100:D119 D124:D143">
      <formula1>ESTIMATSPES!H4=""</formula1>
    </dataValidation>
    <dataValidation type="custom" allowBlank="1" showInputMessage="1" showErrorMessage="1" error="Du har allerede lagt inn MVA på denne posten!&#10;&#10;Slette eventuelt mva i X kolonnen." sqref="H124:H143 H28:H47 H52:H71 H76:H95 H100:H119 H5:H23">
      <formula1>ESTIMATSPES!#REF!&lt;&gt;"=mva"</formula1>
    </dataValidation>
    <dataValidation type="custom" allowBlank="1" showInputMessage="1" showErrorMessage="1" error="Du har allerede lagt inn MVA på denne posten!&#10;&#10;Slette eventuelt mva i X kolonnen." sqref="H4">
      <formula1>ESTIMATSPES!#REF!&lt;&gt;"=mva"</formula1>
    </dataValidation>
  </dataValidations>
  <printOptions/>
  <pageMargins left="0.5905511811023623" right="0.1968503937007874" top="0.7086614173228347" bottom="0.5905511811023623" header="0.31496062992125984" footer="0.2362204724409449"/>
  <pageSetup blackAndWhite="1" fitToHeight="0" horizontalDpi="600" verticalDpi="600" orientation="portrait" paperSize="9"/>
  <headerFooter alignWithMargins="0">
    <oddFooter>&amp;L&amp;"Arial,Normal"&amp;6Norsk filminstitutt filmkalkyle v. 8 av 20.03.13&amp;C&amp;"Arial,Normal"&amp;5Utskrevet &amp;D&amp;T</oddFooter>
  </headerFooter>
  <rowBreaks count="2" manualBreakCount="2">
    <brk id="50" max="8" man="1"/>
    <brk id="98" max="8" man="1"/>
  </rowBreaks>
  <legacyDrawing r:id="rId1"/>
</worksheet>
</file>

<file path=xl/worksheets/sheet11.xml><?xml version="1.0" encoding="utf-8"?>
<worksheet xmlns="http://schemas.openxmlformats.org/spreadsheetml/2006/main" xmlns:r="http://schemas.openxmlformats.org/officeDocument/2006/relationships">
  <sheetPr codeName="Ark9">
    <pageSetUpPr fitToPage="1"/>
  </sheetPr>
  <dimension ref="A1:AC56"/>
  <sheetViews>
    <sheetView showGridLines="0" showRowColHeaders="0" showZeros="0" showOutlineSymbols="0" workbookViewId="0" topLeftCell="A1">
      <selection activeCell="S58" sqref="S58"/>
    </sheetView>
  </sheetViews>
  <sheetFormatPr defaultColWidth="9.140625" defaultRowHeight="12.75"/>
  <cols>
    <col min="1" max="1" width="3.00390625" style="296" customWidth="1"/>
    <col min="2" max="2" width="3.421875" style="298" customWidth="1"/>
    <col min="3" max="3" width="5.8515625" style="83" customWidth="1"/>
    <col min="4" max="4" width="34.28125" style="83" customWidth="1"/>
    <col min="5" max="5" width="12.7109375" style="83" customWidth="1"/>
    <col min="6" max="6" width="3.421875" style="86" customWidth="1"/>
    <col min="7" max="7" width="12.8515625" style="83" customWidth="1"/>
    <col min="8" max="8" width="4.140625" style="297" customWidth="1"/>
    <col min="9" max="9" width="12.7109375" style="83" customWidth="1"/>
    <col min="10" max="10" width="4.140625" style="297" customWidth="1"/>
    <col min="11" max="11" width="12.7109375" style="83" customWidth="1"/>
    <col min="12" max="12" width="3.421875" style="297" customWidth="1"/>
    <col min="13" max="13" width="11.7109375" style="86" customWidth="1"/>
    <col min="14" max="14" width="4.8515625" style="83" hidden="1" customWidth="1"/>
    <col min="15" max="15" width="11.28125" style="86" hidden="1" customWidth="1"/>
    <col min="16" max="16" width="3.421875" style="86" customWidth="1"/>
    <col min="17" max="17" width="11.7109375" style="83" customWidth="1"/>
    <col min="18" max="21" width="11.421875" style="87" customWidth="1"/>
    <col min="22" max="29" width="9.140625" style="83" customWidth="1"/>
    <col min="30" max="16384" width="9.140625" style="296" customWidth="1"/>
  </cols>
  <sheetData>
    <row r="1" spans="19:29" ht="12.75">
      <c r="S1" s="252"/>
      <c r="T1" s="252"/>
      <c r="U1" s="252"/>
      <c r="V1" s="252"/>
      <c r="W1" s="252"/>
      <c r="X1" s="252"/>
      <c r="Y1" s="252"/>
      <c r="Z1" s="252"/>
      <c r="AA1" s="252"/>
      <c r="AB1" s="252"/>
      <c r="AC1" s="252"/>
    </row>
    <row r="2" spans="2:29" ht="15.75">
      <c r="B2" s="335" t="s">
        <v>678</v>
      </c>
      <c r="C2" s="78"/>
      <c r="D2" s="78"/>
      <c r="E2" s="78"/>
      <c r="G2" s="86"/>
      <c r="H2" s="251"/>
      <c r="I2" s="86"/>
      <c r="J2" s="251"/>
      <c r="K2" s="86"/>
      <c r="L2" s="295"/>
      <c r="Q2" s="86"/>
      <c r="S2" s="252"/>
      <c r="T2" s="252"/>
      <c r="U2" s="252"/>
      <c r="V2" s="252"/>
      <c r="W2" s="252"/>
      <c r="X2" s="252"/>
      <c r="Y2" s="252"/>
      <c r="Z2" s="252"/>
      <c r="AA2" s="252"/>
      <c r="AB2" s="252"/>
      <c r="AC2" s="252"/>
    </row>
    <row r="3" spans="2:29" ht="12.75">
      <c r="B3" s="294"/>
      <c r="C3" s="78"/>
      <c r="D3" s="78"/>
      <c r="E3" s="78"/>
      <c r="G3" s="86"/>
      <c r="H3" s="251"/>
      <c r="I3" s="86"/>
      <c r="J3" s="251"/>
      <c r="K3" s="86"/>
      <c r="L3" s="295"/>
      <c r="Q3" s="86"/>
      <c r="S3" s="252"/>
      <c r="T3" s="252"/>
      <c r="U3" s="252"/>
      <c r="V3" s="252"/>
      <c r="W3" s="252"/>
      <c r="X3" s="252"/>
      <c r="Y3" s="252"/>
      <c r="Z3" s="252"/>
      <c r="AA3" s="252"/>
      <c r="AB3" s="252"/>
      <c r="AC3" s="252"/>
    </row>
    <row r="4" spans="2:29" ht="12.75">
      <c r="B4" s="83" t="s">
        <v>624</v>
      </c>
      <c r="D4" s="83">
        <f>FORUTSETNINGER!C4</f>
        <v>0</v>
      </c>
      <c r="G4" s="86"/>
      <c r="H4" s="251"/>
      <c r="I4" s="86"/>
      <c r="J4" s="251"/>
      <c r="K4" s="86"/>
      <c r="Q4" s="86"/>
      <c r="S4" s="252"/>
      <c r="T4" s="252"/>
      <c r="U4" s="252"/>
      <c r="V4" s="252"/>
      <c r="W4" s="252"/>
      <c r="X4" s="252"/>
      <c r="Y4" s="252"/>
      <c r="Z4" s="252"/>
      <c r="AA4" s="252"/>
      <c r="AB4" s="252"/>
      <c r="AC4" s="252"/>
    </row>
    <row r="5" spans="5:29" ht="12.75">
      <c r="E5" s="299"/>
      <c r="G5" s="86"/>
      <c r="H5" s="251"/>
      <c r="I5" s="86"/>
      <c r="J5" s="251"/>
      <c r="K5" s="86"/>
      <c r="L5" s="300"/>
      <c r="Q5" s="86"/>
      <c r="S5" s="252"/>
      <c r="T5" s="252"/>
      <c r="U5" s="252"/>
      <c r="V5" s="252"/>
      <c r="W5" s="252"/>
      <c r="X5" s="252"/>
      <c r="Y5" s="252"/>
      <c r="Z5" s="252"/>
      <c r="AA5" s="252"/>
      <c r="AB5" s="252"/>
      <c r="AC5" s="252"/>
    </row>
    <row r="6" spans="2:29" ht="12" customHeight="1">
      <c r="B6" s="83" t="s">
        <v>625</v>
      </c>
      <c r="C6" s="78"/>
      <c r="D6" s="253">
        <f>BOKFØRT!C5</f>
        <v>40544</v>
      </c>
      <c r="E6" s="337"/>
      <c r="F6" s="338"/>
      <c r="G6" s="201" t="s">
        <v>669</v>
      </c>
      <c r="H6" s="201"/>
      <c r="I6" s="201" t="s">
        <v>687</v>
      </c>
      <c r="J6" s="201"/>
      <c r="K6" s="201" t="s">
        <v>684</v>
      </c>
      <c r="L6" s="339"/>
      <c r="M6" s="201" t="s">
        <v>682</v>
      </c>
      <c r="N6" s="340"/>
      <c r="O6" s="338"/>
      <c r="P6" s="338"/>
      <c r="Q6" s="201" t="s">
        <v>670</v>
      </c>
      <c r="S6" s="252"/>
      <c r="T6" s="252"/>
      <c r="U6" s="252"/>
      <c r="V6" s="252"/>
      <c r="W6" s="252"/>
      <c r="X6" s="252"/>
      <c r="Y6" s="252"/>
      <c r="Z6" s="252"/>
      <c r="AA6" s="252"/>
      <c r="AB6" s="252"/>
      <c r="AC6" s="252"/>
    </row>
    <row r="7" spans="5:29" ht="12" customHeight="1" thickBot="1">
      <c r="E7" s="341" t="s">
        <v>378</v>
      </c>
      <c r="F7" s="338"/>
      <c r="G7" s="336">
        <f>BOKFØRT!C5</f>
        <v>40544</v>
      </c>
      <c r="H7" s="342"/>
      <c r="I7" s="342" t="s">
        <v>671</v>
      </c>
      <c r="J7" s="342"/>
      <c r="K7" s="342" t="s">
        <v>672</v>
      </c>
      <c r="L7" s="341"/>
      <c r="M7" s="201" t="s">
        <v>683</v>
      </c>
      <c r="N7" s="340"/>
      <c r="O7" s="201" t="s">
        <v>621</v>
      </c>
      <c r="P7" s="338"/>
      <c r="Q7" s="342" t="s">
        <v>673</v>
      </c>
      <c r="S7" s="252"/>
      <c r="T7" s="252"/>
      <c r="U7" s="252"/>
      <c r="V7" s="252"/>
      <c r="W7" s="252"/>
      <c r="X7" s="252"/>
      <c r="Y7" s="252"/>
      <c r="Z7" s="252"/>
      <c r="AA7" s="252"/>
      <c r="AB7" s="252"/>
      <c r="AC7" s="252"/>
    </row>
    <row r="8" spans="2:29" ht="16.5" customHeight="1">
      <c r="B8" s="301" t="s">
        <v>462</v>
      </c>
      <c r="C8" s="83" t="s">
        <v>463</v>
      </c>
      <c r="E8" s="302">
        <f>ROUND(Sum_10,0)</f>
        <v>0</v>
      </c>
      <c r="G8" s="194">
        <f>Bokf10</f>
        <v>0</v>
      </c>
      <c r="H8" s="303" t="s">
        <v>674</v>
      </c>
      <c r="I8" s="304"/>
      <c r="J8" s="303" t="s">
        <v>674</v>
      </c>
      <c r="K8" s="194">
        <f>M8-G8-I8</f>
        <v>0</v>
      </c>
      <c r="L8" s="305" t="s">
        <v>675</v>
      </c>
      <c r="M8" s="302">
        <f>ROUND(SumSK10,0)</f>
        <v>0</v>
      </c>
      <c r="O8" s="194">
        <f>Mva_10</f>
        <v>0</v>
      </c>
      <c r="Q8" s="306">
        <f aca="true" t="shared" si="0" ref="Q8:Q35">M8-E8</f>
        <v>0</v>
      </c>
      <c r="S8" s="252"/>
      <c r="T8" s="252"/>
      <c r="U8" s="252"/>
      <c r="V8" s="252"/>
      <c r="W8" s="252"/>
      <c r="X8" s="252"/>
      <c r="Y8" s="252"/>
      <c r="Z8" s="252"/>
      <c r="AA8" s="252"/>
      <c r="AB8" s="252"/>
      <c r="AC8" s="252"/>
    </row>
    <row r="9" spans="2:29" ht="13.5" thickBot="1">
      <c r="B9" s="301" t="s">
        <v>464</v>
      </c>
      <c r="C9" s="83" t="s">
        <v>465</v>
      </c>
      <c r="E9" s="307">
        <f>ROUND(Sum_11,0)</f>
        <v>0</v>
      </c>
      <c r="G9" s="308">
        <f>Bokf11</f>
        <v>0</v>
      </c>
      <c r="H9" s="303" t="s">
        <v>674</v>
      </c>
      <c r="I9" s="309"/>
      <c r="J9" s="303" t="s">
        <v>674</v>
      </c>
      <c r="K9" s="194">
        <f>M9-G9-I9</f>
        <v>0</v>
      </c>
      <c r="L9" s="305" t="s">
        <v>675</v>
      </c>
      <c r="M9" s="310">
        <f>ROUND(SumSK11,0)</f>
        <v>0</v>
      </c>
      <c r="O9" s="194">
        <f>Mva_11</f>
        <v>0</v>
      </c>
      <c r="Q9" s="311">
        <f t="shared" si="0"/>
        <v>0</v>
      </c>
      <c r="S9" s="252"/>
      <c r="T9" s="252"/>
      <c r="U9" s="252"/>
      <c r="V9" s="252"/>
      <c r="W9" s="252"/>
      <c r="X9" s="252"/>
      <c r="Y9" s="252"/>
      <c r="Z9" s="252"/>
      <c r="AA9" s="252"/>
      <c r="AB9" s="252"/>
      <c r="AC9" s="252"/>
    </row>
    <row r="10" spans="2:29" ht="12.75">
      <c r="B10" s="301"/>
      <c r="C10" s="294" t="s">
        <v>466</v>
      </c>
      <c r="D10" s="294"/>
      <c r="E10" s="312">
        <f>SUM(E8:E9)</f>
        <v>0</v>
      </c>
      <c r="F10" s="195"/>
      <c r="G10" s="313">
        <f>SUM(G8:G9)</f>
        <v>0</v>
      </c>
      <c r="H10" s="303" t="s">
        <v>674</v>
      </c>
      <c r="I10" s="313">
        <f>SUM(I8:I9)</f>
        <v>0</v>
      </c>
      <c r="J10" s="303" t="s">
        <v>674</v>
      </c>
      <c r="K10" s="314">
        <f>SUM(K8:K9)</f>
        <v>0</v>
      </c>
      <c r="L10" s="305" t="s">
        <v>675</v>
      </c>
      <c r="M10" s="314">
        <f>SUM(M8:M9)</f>
        <v>0</v>
      </c>
      <c r="O10" s="195"/>
      <c r="P10" s="195"/>
      <c r="Q10" s="315">
        <f t="shared" si="0"/>
        <v>0</v>
      </c>
      <c r="S10" s="252"/>
      <c r="T10" s="252"/>
      <c r="U10" s="252"/>
      <c r="V10" s="252"/>
      <c r="W10" s="252"/>
      <c r="X10" s="252"/>
      <c r="Y10" s="252"/>
      <c r="Z10" s="252"/>
      <c r="AA10" s="252"/>
      <c r="AB10" s="252"/>
      <c r="AC10" s="252"/>
    </row>
    <row r="11" spans="2:29" ht="12.75">
      <c r="B11" s="301" t="s">
        <v>468</v>
      </c>
      <c r="C11" s="83" t="s">
        <v>469</v>
      </c>
      <c r="E11" s="316">
        <f>ROUND(Sum_21,0)</f>
        <v>0</v>
      </c>
      <c r="G11" s="317">
        <f>Bokf21</f>
        <v>0</v>
      </c>
      <c r="H11" s="303" t="s">
        <v>674</v>
      </c>
      <c r="I11" s="318"/>
      <c r="J11" s="303" t="s">
        <v>674</v>
      </c>
      <c r="K11" s="194">
        <f aca="true" t="shared" si="1" ref="K11:K24">M11-G11-I11</f>
        <v>0</v>
      </c>
      <c r="L11" s="305" t="s">
        <v>675</v>
      </c>
      <c r="M11" s="316">
        <f>ROUND(SumSK21,0)</f>
        <v>0</v>
      </c>
      <c r="O11" s="194">
        <f>Mva_21</f>
        <v>0</v>
      </c>
      <c r="Q11" s="319">
        <f t="shared" si="0"/>
        <v>0</v>
      </c>
      <c r="S11" s="252"/>
      <c r="T11" s="252"/>
      <c r="U11" s="252"/>
      <c r="V11" s="252"/>
      <c r="W11" s="252"/>
      <c r="X11" s="252"/>
      <c r="Y11" s="252"/>
      <c r="Z11" s="252"/>
      <c r="AA11" s="252"/>
      <c r="AB11" s="252"/>
      <c r="AC11" s="252"/>
    </row>
    <row r="12" spans="2:29" ht="12.75">
      <c r="B12" s="301" t="s">
        <v>470</v>
      </c>
      <c r="C12" s="83" t="s">
        <v>471</v>
      </c>
      <c r="E12" s="320">
        <f>ROUND(Sum_31,0)</f>
        <v>0</v>
      </c>
      <c r="G12" s="194">
        <f>Bokf31</f>
        <v>0</v>
      </c>
      <c r="H12" s="303" t="s">
        <v>674</v>
      </c>
      <c r="I12" s="304"/>
      <c r="J12" s="303" t="s">
        <v>674</v>
      </c>
      <c r="K12" s="194">
        <f t="shared" si="1"/>
        <v>0</v>
      </c>
      <c r="L12" s="305" t="s">
        <v>675</v>
      </c>
      <c r="M12" s="320">
        <f>ROUND(SumSK31,0)</f>
        <v>0</v>
      </c>
      <c r="O12" s="194">
        <f>Mva_31</f>
        <v>0</v>
      </c>
      <c r="Q12" s="306">
        <f t="shared" si="0"/>
        <v>0</v>
      </c>
      <c r="S12" s="252"/>
      <c r="T12" s="252"/>
      <c r="U12" s="252"/>
      <c r="V12" s="252"/>
      <c r="W12" s="252"/>
      <c r="X12" s="252"/>
      <c r="Y12" s="252"/>
      <c r="Z12" s="252"/>
      <c r="AA12" s="252"/>
      <c r="AB12" s="252"/>
      <c r="AC12" s="252"/>
    </row>
    <row r="13" spans="2:29" ht="12.75">
      <c r="B13" s="301" t="s">
        <v>472</v>
      </c>
      <c r="C13" s="83" t="s">
        <v>473</v>
      </c>
      <c r="E13" s="320">
        <f>ROUND(Sum_32,0)</f>
        <v>0</v>
      </c>
      <c r="G13" s="194">
        <f>Bokf32</f>
        <v>0</v>
      </c>
      <c r="H13" s="303" t="s">
        <v>674</v>
      </c>
      <c r="I13" s="304"/>
      <c r="J13" s="303" t="s">
        <v>674</v>
      </c>
      <c r="K13" s="194">
        <f t="shared" si="1"/>
        <v>0</v>
      </c>
      <c r="L13" s="305" t="s">
        <v>675</v>
      </c>
      <c r="M13" s="320">
        <f>ROUND(SumSK32,0)</f>
        <v>0</v>
      </c>
      <c r="O13" s="194">
        <f>Mva_32</f>
        <v>0</v>
      </c>
      <c r="Q13" s="306">
        <f t="shared" si="0"/>
        <v>0</v>
      </c>
      <c r="S13" s="252"/>
      <c r="T13" s="252"/>
      <c r="U13" s="252"/>
      <c r="V13" s="252"/>
      <c r="W13" s="252"/>
      <c r="X13" s="252"/>
      <c r="Y13" s="252"/>
      <c r="Z13" s="252"/>
      <c r="AA13" s="252"/>
      <c r="AB13" s="252"/>
      <c r="AC13" s="252"/>
    </row>
    <row r="14" spans="2:29" ht="12.75">
      <c r="B14" s="301" t="s">
        <v>474</v>
      </c>
      <c r="C14" s="83" t="s">
        <v>475</v>
      </c>
      <c r="E14" s="320">
        <f>ROUND(Sum_33,0)</f>
        <v>0</v>
      </c>
      <c r="G14" s="194">
        <f>Bokf33</f>
        <v>0</v>
      </c>
      <c r="H14" s="303" t="s">
        <v>674</v>
      </c>
      <c r="I14" s="304"/>
      <c r="J14" s="303" t="s">
        <v>674</v>
      </c>
      <c r="K14" s="194">
        <f t="shared" si="1"/>
        <v>0</v>
      </c>
      <c r="L14" s="305" t="s">
        <v>675</v>
      </c>
      <c r="M14" s="320">
        <f>ROUND(SumSK33,0)</f>
        <v>0</v>
      </c>
      <c r="O14" s="194">
        <f>Mva_33</f>
        <v>0</v>
      </c>
      <c r="Q14" s="306">
        <f t="shared" si="0"/>
        <v>0</v>
      </c>
      <c r="S14" s="252"/>
      <c r="T14" s="252"/>
      <c r="U14" s="252"/>
      <c r="V14" s="252"/>
      <c r="W14" s="252"/>
      <c r="X14" s="252"/>
      <c r="Y14" s="252"/>
      <c r="Z14" s="252"/>
      <c r="AA14" s="252"/>
      <c r="AB14" s="252"/>
      <c r="AC14" s="252"/>
    </row>
    <row r="15" spans="2:29" ht="12.75">
      <c r="B15" s="301" t="s">
        <v>476</v>
      </c>
      <c r="C15" s="83" t="s">
        <v>477</v>
      </c>
      <c r="E15" s="320">
        <f>ROUND(Sum_34,0)</f>
        <v>0</v>
      </c>
      <c r="G15" s="194">
        <f>Bokf34</f>
        <v>0</v>
      </c>
      <c r="H15" s="303" t="s">
        <v>674</v>
      </c>
      <c r="I15" s="304"/>
      <c r="J15" s="303" t="s">
        <v>674</v>
      </c>
      <c r="K15" s="194">
        <f t="shared" si="1"/>
        <v>0</v>
      </c>
      <c r="L15" s="305" t="s">
        <v>675</v>
      </c>
      <c r="M15" s="320">
        <f>ROUND(SumSK34,0)</f>
        <v>0</v>
      </c>
      <c r="O15" s="194">
        <f>Mva_34</f>
        <v>0</v>
      </c>
      <c r="Q15" s="306">
        <f t="shared" si="0"/>
        <v>0</v>
      </c>
      <c r="S15" s="252"/>
      <c r="T15" s="252"/>
      <c r="U15" s="252"/>
      <c r="V15" s="252"/>
      <c r="W15" s="252"/>
      <c r="X15" s="252"/>
      <c r="Y15" s="252"/>
      <c r="Z15" s="252"/>
      <c r="AA15" s="252"/>
      <c r="AB15" s="252"/>
      <c r="AC15" s="252"/>
    </row>
    <row r="16" spans="2:29" ht="12.75">
      <c r="B16" s="301" t="s">
        <v>478</v>
      </c>
      <c r="C16" s="83" t="s">
        <v>479</v>
      </c>
      <c r="E16" s="320">
        <f>ROUND(Sum_35,0)</f>
        <v>0</v>
      </c>
      <c r="G16" s="194">
        <f>Bokf35</f>
        <v>0</v>
      </c>
      <c r="H16" s="303" t="s">
        <v>674</v>
      </c>
      <c r="I16" s="304"/>
      <c r="J16" s="303" t="s">
        <v>674</v>
      </c>
      <c r="K16" s="194">
        <f t="shared" si="1"/>
        <v>0</v>
      </c>
      <c r="L16" s="305" t="s">
        <v>675</v>
      </c>
      <c r="M16" s="320">
        <f>ROUND(SumSK35,0)</f>
        <v>0</v>
      </c>
      <c r="O16" s="194">
        <f>Mva_35</f>
        <v>0</v>
      </c>
      <c r="Q16" s="306">
        <f t="shared" si="0"/>
        <v>0</v>
      </c>
      <c r="S16" s="252"/>
      <c r="T16" s="252"/>
      <c r="U16" s="252"/>
      <c r="V16" s="252"/>
      <c r="W16" s="252"/>
      <c r="X16" s="252"/>
      <c r="Y16" s="252"/>
      <c r="Z16" s="252"/>
      <c r="AA16" s="252"/>
      <c r="AB16" s="252"/>
      <c r="AC16" s="252"/>
    </row>
    <row r="17" spans="2:29" ht="12.75">
      <c r="B17" s="301" t="s">
        <v>480</v>
      </c>
      <c r="C17" s="83" t="s">
        <v>481</v>
      </c>
      <c r="E17" s="320">
        <f>ROUND(Sum_36,0)</f>
        <v>0</v>
      </c>
      <c r="G17" s="194">
        <f>Bokf36</f>
        <v>0</v>
      </c>
      <c r="H17" s="303" t="s">
        <v>674</v>
      </c>
      <c r="I17" s="304"/>
      <c r="J17" s="303" t="s">
        <v>674</v>
      </c>
      <c r="K17" s="194">
        <f t="shared" si="1"/>
        <v>0</v>
      </c>
      <c r="L17" s="305" t="s">
        <v>675</v>
      </c>
      <c r="M17" s="320">
        <f>ROUND(SumSK36,0)</f>
        <v>0</v>
      </c>
      <c r="O17" s="194">
        <f>Mva_36</f>
        <v>0</v>
      </c>
      <c r="Q17" s="306">
        <f t="shared" si="0"/>
        <v>0</v>
      </c>
      <c r="S17" s="252"/>
      <c r="T17" s="252"/>
      <c r="U17" s="252"/>
      <c r="V17" s="252"/>
      <c r="W17" s="252"/>
      <c r="X17" s="252"/>
      <c r="Y17" s="252"/>
      <c r="Z17" s="252"/>
      <c r="AA17" s="252"/>
      <c r="AB17" s="252"/>
      <c r="AC17" s="252"/>
    </row>
    <row r="18" spans="2:29" ht="12.75">
      <c r="B18" s="301" t="s">
        <v>482</v>
      </c>
      <c r="C18" s="83" t="s">
        <v>483</v>
      </c>
      <c r="E18" s="320">
        <f>ROUND(Sum_37,0)</f>
        <v>0</v>
      </c>
      <c r="G18" s="194">
        <f>Bokf37</f>
        <v>0</v>
      </c>
      <c r="H18" s="303" t="s">
        <v>674</v>
      </c>
      <c r="I18" s="304"/>
      <c r="J18" s="303" t="s">
        <v>674</v>
      </c>
      <c r="K18" s="194">
        <f t="shared" si="1"/>
        <v>0</v>
      </c>
      <c r="L18" s="305" t="s">
        <v>675</v>
      </c>
      <c r="M18" s="320">
        <f>ROUND(SumSK37,0)</f>
        <v>0</v>
      </c>
      <c r="O18" s="194">
        <f>Mva_37</f>
        <v>0</v>
      </c>
      <c r="Q18" s="306">
        <f t="shared" si="0"/>
        <v>0</v>
      </c>
      <c r="S18" s="252"/>
      <c r="T18" s="252"/>
      <c r="U18" s="252"/>
      <c r="V18" s="252"/>
      <c r="W18" s="252"/>
      <c r="X18" s="252"/>
      <c r="Y18" s="252"/>
      <c r="Z18" s="252"/>
      <c r="AA18" s="252"/>
      <c r="AB18" s="252"/>
      <c r="AC18" s="252"/>
    </row>
    <row r="19" spans="2:29" ht="12.75">
      <c r="B19" s="301" t="s">
        <v>484</v>
      </c>
      <c r="C19" s="83" t="s">
        <v>485</v>
      </c>
      <c r="E19" s="320">
        <f>ROUND(Sum_38,0)</f>
        <v>0</v>
      </c>
      <c r="G19" s="194">
        <f>Bokf38</f>
        <v>0</v>
      </c>
      <c r="H19" s="303" t="s">
        <v>674</v>
      </c>
      <c r="I19" s="304"/>
      <c r="J19" s="303" t="s">
        <v>674</v>
      </c>
      <c r="K19" s="194">
        <f t="shared" si="1"/>
        <v>0</v>
      </c>
      <c r="L19" s="305" t="s">
        <v>675</v>
      </c>
      <c r="M19" s="320">
        <f>ROUND(SumSK38,0)</f>
        <v>0</v>
      </c>
      <c r="O19" s="194">
        <f>Mva_38</f>
        <v>0</v>
      </c>
      <c r="Q19" s="306">
        <f t="shared" si="0"/>
        <v>0</v>
      </c>
      <c r="S19" s="252"/>
      <c r="T19" s="252"/>
      <c r="U19" s="252"/>
      <c r="V19" s="252"/>
      <c r="W19" s="252"/>
      <c r="X19" s="252"/>
      <c r="Y19" s="252"/>
      <c r="Z19" s="252"/>
      <c r="AA19" s="252"/>
      <c r="AB19" s="252"/>
      <c r="AC19" s="252"/>
    </row>
    <row r="20" spans="2:29" ht="12.75">
      <c r="B20" s="301" t="s">
        <v>486</v>
      </c>
      <c r="C20" s="83" t="s">
        <v>487</v>
      </c>
      <c r="E20" s="320">
        <f>ROUND(Sum_39,0)</f>
        <v>0</v>
      </c>
      <c r="G20" s="194">
        <f>Bokf39</f>
        <v>0</v>
      </c>
      <c r="H20" s="303" t="s">
        <v>674</v>
      </c>
      <c r="I20" s="304"/>
      <c r="J20" s="303" t="s">
        <v>674</v>
      </c>
      <c r="K20" s="194">
        <f t="shared" si="1"/>
        <v>0</v>
      </c>
      <c r="L20" s="305" t="s">
        <v>675</v>
      </c>
      <c r="M20" s="320">
        <f>ROUND(SumSK39,0)</f>
        <v>0</v>
      </c>
      <c r="O20" s="194">
        <f>Mva_39</f>
        <v>0</v>
      </c>
      <c r="Q20" s="306">
        <f t="shared" si="0"/>
        <v>0</v>
      </c>
      <c r="S20" s="252"/>
      <c r="T20" s="252"/>
      <c r="U20" s="252"/>
      <c r="V20" s="252"/>
      <c r="W20" s="252"/>
      <c r="X20" s="252"/>
      <c r="Y20" s="252"/>
      <c r="Z20" s="252"/>
      <c r="AA20" s="252"/>
      <c r="AB20" s="252"/>
      <c r="AC20" s="252"/>
    </row>
    <row r="21" spans="2:29" ht="12.75">
      <c r="B21" s="301" t="s">
        <v>488</v>
      </c>
      <c r="C21" s="83" t="s">
        <v>489</v>
      </c>
      <c r="E21" s="320">
        <f>ROUND(Sum_40,0)</f>
        <v>0</v>
      </c>
      <c r="G21" s="194">
        <f>Bokf40</f>
        <v>0</v>
      </c>
      <c r="H21" s="303" t="s">
        <v>674</v>
      </c>
      <c r="I21" s="304"/>
      <c r="J21" s="303" t="s">
        <v>674</v>
      </c>
      <c r="K21" s="194">
        <f t="shared" si="1"/>
        <v>0</v>
      </c>
      <c r="L21" s="305" t="s">
        <v>675</v>
      </c>
      <c r="M21" s="320">
        <f>ROUND(SumSK40,0)</f>
        <v>0</v>
      </c>
      <c r="O21" s="194">
        <f>Mva_40</f>
        <v>0</v>
      </c>
      <c r="Q21" s="306">
        <f t="shared" si="0"/>
        <v>0</v>
      </c>
      <c r="S21" s="252"/>
      <c r="T21" s="252"/>
      <c r="U21" s="252"/>
      <c r="V21" s="252"/>
      <c r="W21" s="252"/>
      <c r="X21" s="252"/>
      <c r="Y21" s="252"/>
      <c r="Z21" s="252"/>
      <c r="AA21" s="252"/>
      <c r="AB21" s="252"/>
      <c r="AC21" s="252"/>
    </row>
    <row r="22" spans="2:29" ht="12.75">
      <c r="B22" s="301" t="s">
        <v>490</v>
      </c>
      <c r="C22" s="83" t="s">
        <v>491</v>
      </c>
      <c r="E22" s="320">
        <f>ROUND(Sum_41,0)</f>
        <v>0</v>
      </c>
      <c r="G22" s="194">
        <f>Bokf41</f>
        <v>0</v>
      </c>
      <c r="H22" s="303" t="s">
        <v>674</v>
      </c>
      <c r="I22" s="304"/>
      <c r="J22" s="303" t="s">
        <v>674</v>
      </c>
      <c r="K22" s="194">
        <f t="shared" si="1"/>
        <v>0</v>
      </c>
      <c r="L22" s="305" t="s">
        <v>675</v>
      </c>
      <c r="M22" s="320">
        <f>ROUND(SumSK41,0)</f>
        <v>0</v>
      </c>
      <c r="O22" s="194">
        <f>Mva_41</f>
        <v>0</v>
      </c>
      <c r="Q22" s="306">
        <f t="shared" si="0"/>
        <v>0</v>
      </c>
      <c r="S22" s="252"/>
      <c r="T22" s="252"/>
      <c r="U22" s="252"/>
      <c r="V22" s="252"/>
      <c r="W22" s="252"/>
      <c r="X22" s="252"/>
      <c r="Y22" s="252"/>
      <c r="Z22" s="252"/>
      <c r="AA22" s="252"/>
      <c r="AB22" s="252"/>
      <c r="AC22" s="252"/>
    </row>
    <row r="23" spans="2:29" ht="12.75">
      <c r="B23" s="301" t="s">
        <v>492</v>
      </c>
      <c r="C23" s="83" t="s">
        <v>493</v>
      </c>
      <c r="E23" s="320">
        <f>ROUND(Sum_42,0)</f>
        <v>0</v>
      </c>
      <c r="G23" s="194">
        <f>Bokf42</f>
        <v>0</v>
      </c>
      <c r="H23" s="303" t="s">
        <v>674</v>
      </c>
      <c r="I23" s="304"/>
      <c r="J23" s="303" t="s">
        <v>674</v>
      </c>
      <c r="K23" s="194">
        <f t="shared" si="1"/>
        <v>0</v>
      </c>
      <c r="L23" s="305" t="s">
        <v>675</v>
      </c>
      <c r="M23" s="320">
        <f>ROUND(SumSK42,0)</f>
        <v>0</v>
      </c>
      <c r="O23" s="194">
        <f>Mva_42</f>
        <v>0</v>
      </c>
      <c r="Q23" s="306">
        <f t="shared" si="0"/>
        <v>0</v>
      </c>
      <c r="S23" s="252"/>
      <c r="T23" s="252"/>
      <c r="U23" s="252"/>
      <c r="V23" s="252"/>
      <c r="W23" s="252"/>
      <c r="X23" s="252"/>
      <c r="Y23" s="252"/>
      <c r="Z23" s="252"/>
      <c r="AA23" s="252"/>
      <c r="AB23" s="252"/>
      <c r="AC23" s="252"/>
    </row>
    <row r="24" spans="2:29" ht="12.75">
      <c r="B24" s="301" t="s">
        <v>618</v>
      </c>
      <c r="C24" s="83" t="s">
        <v>676</v>
      </c>
      <c r="E24" s="310">
        <f>ROUND(Sum_44,0)</f>
        <v>0</v>
      </c>
      <c r="G24" s="308">
        <f>Bokf44</f>
        <v>0</v>
      </c>
      <c r="H24" s="303" t="s">
        <v>674</v>
      </c>
      <c r="I24" s="309"/>
      <c r="J24" s="303" t="s">
        <v>674</v>
      </c>
      <c r="K24" s="194">
        <f t="shared" si="1"/>
        <v>0</v>
      </c>
      <c r="L24" s="305" t="s">
        <v>675</v>
      </c>
      <c r="M24" s="310">
        <f>ROUND(SumSK44,0)</f>
        <v>0</v>
      </c>
      <c r="O24" s="194" t="e">
        <f>_Mva43</f>
        <v>#NAME?</v>
      </c>
      <c r="Q24" s="311">
        <f t="shared" si="0"/>
        <v>0</v>
      </c>
      <c r="S24" s="252"/>
      <c r="T24" s="252"/>
      <c r="U24" s="252"/>
      <c r="V24" s="252"/>
      <c r="W24" s="252"/>
      <c r="X24" s="252"/>
      <c r="Y24" s="252"/>
      <c r="Z24" s="252"/>
      <c r="AA24" s="252"/>
      <c r="AB24" s="252"/>
      <c r="AC24" s="252"/>
    </row>
    <row r="25" spans="2:29" ht="12.75">
      <c r="B25" s="301"/>
      <c r="C25" s="294" t="s">
        <v>494</v>
      </c>
      <c r="D25" s="294"/>
      <c r="E25" s="314">
        <f>SUM(E11:E24)</f>
        <v>0</v>
      </c>
      <c r="F25" s="195"/>
      <c r="G25" s="313">
        <f>SUM(G11:G24)</f>
        <v>0</v>
      </c>
      <c r="H25" s="303" t="s">
        <v>674</v>
      </c>
      <c r="I25" s="313">
        <f>SUM(I11:I24)</f>
        <v>0</v>
      </c>
      <c r="J25" s="303" t="s">
        <v>674</v>
      </c>
      <c r="K25" s="314">
        <f>SUM(K11:K24)</f>
        <v>0</v>
      </c>
      <c r="L25" s="305" t="s">
        <v>675</v>
      </c>
      <c r="M25" s="314">
        <f>SUM(M11:M24)</f>
        <v>0</v>
      </c>
      <c r="O25" s="195"/>
      <c r="P25" s="195"/>
      <c r="Q25" s="315">
        <f t="shared" si="0"/>
        <v>0</v>
      </c>
      <c r="S25" s="252"/>
      <c r="T25" s="252"/>
      <c r="U25" s="252"/>
      <c r="V25" s="252"/>
      <c r="W25" s="252"/>
      <c r="X25" s="252"/>
      <c r="Y25" s="252"/>
      <c r="Z25" s="252"/>
      <c r="AA25" s="252"/>
      <c r="AB25" s="252"/>
      <c r="AC25" s="252"/>
    </row>
    <row r="26" spans="2:29" ht="12.75">
      <c r="B26" s="301" t="s">
        <v>495</v>
      </c>
      <c r="C26" s="83" t="s">
        <v>496</v>
      </c>
      <c r="E26" s="316">
        <f>ROUND(Sum_51,0)</f>
        <v>0</v>
      </c>
      <c r="G26" s="317">
        <f>Bokf51</f>
        <v>0</v>
      </c>
      <c r="H26" s="303" t="s">
        <v>674</v>
      </c>
      <c r="I26" s="318"/>
      <c r="J26" s="303" t="s">
        <v>674</v>
      </c>
      <c r="K26" s="194">
        <f aca="true" t="shared" si="2" ref="K26:K31">M26-G26-I26</f>
        <v>0</v>
      </c>
      <c r="L26" s="305" t="s">
        <v>675</v>
      </c>
      <c r="M26" s="316">
        <f>ROUND(SumSK51,0)</f>
        <v>0</v>
      </c>
      <c r="O26" s="194">
        <f>Mva_51</f>
        <v>0</v>
      </c>
      <c r="Q26" s="319">
        <f t="shared" si="0"/>
        <v>0</v>
      </c>
      <c r="S26" s="252"/>
      <c r="T26" s="252"/>
      <c r="U26" s="252"/>
      <c r="V26" s="252"/>
      <c r="W26" s="252"/>
      <c r="X26" s="252"/>
      <c r="Y26" s="252"/>
      <c r="Z26" s="252"/>
      <c r="AA26" s="252"/>
      <c r="AB26" s="252"/>
      <c r="AC26" s="252"/>
    </row>
    <row r="27" spans="2:29" ht="12.75">
      <c r="B27" s="301" t="s">
        <v>497</v>
      </c>
      <c r="C27" s="83" t="s">
        <v>498</v>
      </c>
      <c r="E27" s="320">
        <f>ROUND(Sum_52,0)</f>
        <v>0</v>
      </c>
      <c r="G27" s="194">
        <f>Bokf52</f>
        <v>0</v>
      </c>
      <c r="H27" s="303" t="s">
        <v>674</v>
      </c>
      <c r="I27" s="304"/>
      <c r="J27" s="303" t="s">
        <v>674</v>
      </c>
      <c r="K27" s="194">
        <f t="shared" si="2"/>
        <v>0</v>
      </c>
      <c r="L27" s="305" t="s">
        <v>675</v>
      </c>
      <c r="M27" s="320">
        <f>ROUND(SumSK52,0)</f>
        <v>0</v>
      </c>
      <c r="O27" s="194">
        <f>Mva_52</f>
        <v>0</v>
      </c>
      <c r="Q27" s="306">
        <f t="shared" si="0"/>
        <v>0</v>
      </c>
      <c r="S27" s="252"/>
      <c r="T27" s="252"/>
      <c r="U27" s="252"/>
      <c r="V27" s="252"/>
      <c r="W27" s="252"/>
      <c r="X27" s="252"/>
      <c r="Y27" s="252"/>
      <c r="Z27" s="252"/>
      <c r="AA27" s="252"/>
      <c r="AB27" s="252"/>
      <c r="AC27" s="252"/>
    </row>
    <row r="28" spans="2:29" ht="12.75">
      <c r="B28" s="301" t="s">
        <v>499</v>
      </c>
      <c r="C28" s="83" t="s">
        <v>500</v>
      </c>
      <c r="E28" s="320">
        <f>ROUND(Sum_53,0)</f>
        <v>0</v>
      </c>
      <c r="G28" s="194">
        <f>Bokf53</f>
        <v>0</v>
      </c>
      <c r="H28" s="303" t="s">
        <v>674</v>
      </c>
      <c r="I28" s="304"/>
      <c r="J28" s="303" t="s">
        <v>674</v>
      </c>
      <c r="K28" s="194">
        <f t="shared" si="2"/>
        <v>0</v>
      </c>
      <c r="L28" s="305" t="s">
        <v>675</v>
      </c>
      <c r="M28" s="320">
        <f>ROUND(SumSK53,0)</f>
        <v>0</v>
      </c>
      <c r="O28" s="194">
        <f>Mva_53</f>
        <v>0</v>
      </c>
      <c r="Q28" s="306">
        <f t="shared" si="0"/>
        <v>0</v>
      </c>
      <c r="S28" s="252"/>
      <c r="T28" s="252"/>
      <c r="U28" s="252"/>
      <c r="V28" s="252"/>
      <c r="W28" s="252"/>
      <c r="X28" s="252"/>
      <c r="Y28" s="252"/>
      <c r="Z28" s="252"/>
      <c r="AA28" s="252"/>
      <c r="AB28" s="252"/>
      <c r="AC28" s="252"/>
    </row>
    <row r="29" spans="2:29" ht="12.75">
      <c r="B29" s="301" t="s">
        <v>501</v>
      </c>
      <c r="C29" s="83" t="s">
        <v>502</v>
      </c>
      <c r="E29" s="320">
        <f>ROUND(Sum_54,0)</f>
        <v>0</v>
      </c>
      <c r="G29" s="194">
        <f>Bokf54</f>
        <v>0</v>
      </c>
      <c r="H29" s="303" t="s">
        <v>674</v>
      </c>
      <c r="I29" s="304"/>
      <c r="J29" s="303" t="s">
        <v>674</v>
      </c>
      <c r="K29" s="194">
        <f t="shared" si="2"/>
        <v>0</v>
      </c>
      <c r="L29" s="305" t="s">
        <v>675</v>
      </c>
      <c r="M29" s="320">
        <f>ROUND(SumSK54,0)</f>
        <v>0</v>
      </c>
      <c r="O29" s="194">
        <f>Mva_54</f>
        <v>0</v>
      </c>
      <c r="Q29" s="306">
        <f t="shared" si="0"/>
        <v>0</v>
      </c>
      <c r="S29" s="252"/>
      <c r="T29" s="252"/>
      <c r="U29" s="252"/>
      <c r="V29" s="252"/>
      <c r="W29" s="252"/>
      <c r="X29" s="252"/>
      <c r="Y29" s="252"/>
      <c r="Z29" s="252"/>
      <c r="AA29" s="252"/>
      <c r="AB29" s="252"/>
      <c r="AC29" s="252"/>
    </row>
    <row r="30" spans="2:29" ht="12.75">
      <c r="B30" s="301" t="s">
        <v>503</v>
      </c>
      <c r="C30" s="83" t="s">
        <v>504</v>
      </c>
      <c r="E30" s="320">
        <f>ROUND(Sum_55,0)</f>
        <v>0</v>
      </c>
      <c r="G30" s="194">
        <f>Bokf55</f>
        <v>0</v>
      </c>
      <c r="H30" s="303" t="s">
        <v>674</v>
      </c>
      <c r="I30" s="304"/>
      <c r="J30" s="303" t="s">
        <v>674</v>
      </c>
      <c r="K30" s="194">
        <f t="shared" si="2"/>
        <v>0</v>
      </c>
      <c r="L30" s="305" t="s">
        <v>675</v>
      </c>
      <c r="M30" s="320">
        <f>ROUND(SumSK55,0)</f>
        <v>0</v>
      </c>
      <c r="O30" s="194">
        <f>Mva_55</f>
        <v>0</v>
      </c>
      <c r="Q30" s="306">
        <f t="shared" si="0"/>
        <v>0</v>
      </c>
      <c r="S30" s="252"/>
      <c r="T30" s="252"/>
      <c r="U30" s="252"/>
      <c r="V30" s="252"/>
      <c r="W30" s="252"/>
      <c r="X30" s="252"/>
      <c r="Y30" s="252"/>
      <c r="Z30" s="252"/>
      <c r="AA30" s="252"/>
      <c r="AB30" s="252"/>
      <c r="AC30" s="252"/>
    </row>
    <row r="31" spans="2:29" ht="12.75">
      <c r="B31" s="301" t="s">
        <v>505</v>
      </c>
      <c r="C31" s="83" t="s">
        <v>823</v>
      </c>
      <c r="E31" s="310">
        <f>ROUND(Sum_56,0)</f>
        <v>0</v>
      </c>
      <c r="G31" s="308">
        <f>Bokf56</f>
        <v>0</v>
      </c>
      <c r="H31" s="303" t="s">
        <v>674</v>
      </c>
      <c r="I31" s="309"/>
      <c r="J31" s="303" t="s">
        <v>674</v>
      </c>
      <c r="K31" s="194">
        <f t="shared" si="2"/>
        <v>0</v>
      </c>
      <c r="L31" s="305" t="s">
        <v>675</v>
      </c>
      <c r="M31" s="310">
        <f>ROUND(SumSK56,0)</f>
        <v>0</v>
      </c>
      <c r="O31" s="194">
        <f>Mva_56</f>
        <v>0</v>
      </c>
      <c r="Q31" s="311">
        <f t="shared" si="0"/>
        <v>0</v>
      </c>
      <c r="S31" s="252"/>
      <c r="T31" s="252"/>
      <c r="U31" s="252"/>
      <c r="V31" s="252"/>
      <c r="W31" s="252"/>
      <c r="X31" s="252"/>
      <c r="Y31" s="252"/>
      <c r="Z31" s="252"/>
      <c r="AA31" s="252"/>
      <c r="AB31" s="252"/>
      <c r="AC31" s="252"/>
    </row>
    <row r="32" spans="2:29" ht="12.75">
      <c r="B32" s="301"/>
      <c r="C32" s="294" t="s">
        <v>506</v>
      </c>
      <c r="D32" s="294"/>
      <c r="E32" s="314">
        <f>SUM(E26:E31)</f>
        <v>0</v>
      </c>
      <c r="F32" s="195"/>
      <c r="G32" s="313">
        <f>SUM(G26:G31)</f>
        <v>0</v>
      </c>
      <c r="H32" s="303" t="s">
        <v>674</v>
      </c>
      <c r="I32" s="313">
        <f>SUM(I26:I31)</f>
        <v>0</v>
      </c>
      <c r="J32" s="303" t="s">
        <v>674</v>
      </c>
      <c r="K32" s="314">
        <f>SUM(K26:K31)</f>
        <v>0</v>
      </c>
      <c r="L32" s="305" t="s">
        <v>675</v>
      </c>
      <c r="M32" s="314">
        <f>SUM(M26:M31)</f>
        <v>0</v>
      </c>
      <c r="O32" s="195"/>
      <c r="P32" s="195"/>
      <c r="Q32" s="315">
        <f t="shared" si="0"/>
        <v>0</v>
      </c>
      <c r="S32" s="252"/>
      <c r="T32" s="252"/>
      <c r="U32" s="252"/>
      <c r="V32" s="252"/>
      <c r="W32" s="252"/>
      <c r="X32" s="252"/>
      <c r="Y32" s="252"/>
      <c r="Z32" s="252"/>
      <c r="AA32" s="252"/>
      <c r="AB32" s="252"/>
      <c r="AC32" s="252"/>
    </row>
    <row r="33" spans="2:29" ht="13.5" thickBot="1">
      <c r="B33" s="301" t="s">
        <v>507</v>
      </c>
      <c r="C33" s="83" t="s">
        <v>508</v>
      </c>
      <c r="E33" s="307">
        <f>ROUND(Sum_61,0)</f>
        <v>0</v>
      </c>
      <c r="F33" s="195"/>
      <c r="G33" s="321">
        <f>Bokf61</f>
        <v>0</v>
      </c>
      <c r="H33" s="303" t="s">
        <v>674</v>
      </c>
      <c r="I33" s="322"/>
      <c r="J33" s="303" t="s">
        <v>674</v>
      </c>
      <c r="K33" s="194">
        <f>M33-G33-I33</f>
        <v>0</v>
      </c>
      <c r="L33" s="305" t="s">
        <v>675</v>
      </c>
      <c r="M33" s="307">
        <f>ROUND(SumSK61,0)</f>
        <v>0</v>
      </c>
      <c r="O33" s="195"/>
      <c r="P33" s="195"/>
      <c r="Q33" s="323">
        <f t="shared" si="0"/>
        <v>0</v>
      </c>
      <c r="S33" s="252"/>
      <c r="T33" s="252"/>
      <c r="U33" s="252"/>
      <c r="V33" s="252"/>
      <c r="W33" s="252"/>
      <c r="X33" s="252"/>
      <c r="Y33" s="252"/>
      <c r="Z33" s="252"/>
      <c r="AA33" s="252"/>
      <c r="AB33" s="252"/>
      <c r="AC33" s="252"/>
    </row>
    <row r="34" spans="2:29" ht="12.75">
      <c r="B34" s="301"/>
      <c r="C34" s="294" t="s">
        <v>509</v>
      </c>
      <c r="D34" s="294"/>
      <c r="E34" s="324">
        <f>E10+E25+E32+E33</f>
        <v>0</v>
      </c>
      <c r="F34" s="254"/>
      <c r="G34" s="325">
        <f>G10+G25+G32+G33</f>
        <v>0</v>
      </c>
      <c r="H34" s="303" t="s">
        <v>674</v>
      </c>
      <c r="I34" s="325">
        <f>I10+I25+I32+I33</f>
        <v>0</v>
      </c>
      <c r="J34" s="303" t="s">
        <v>674</v>
      </c>
      <c r="K34" s="325">
        <f>K10+K25+K32+K33</f>
        <v>0</v>
      </c>
      <c r="L34" s="305" t="s">
        <v>675</v>
      </c>
      <c r="M34" s="324">
        <f>M10+M25+M32+M33</f>
        <v>0</v>
      </c>
      <c r="N34" s="294"/>
      <c r="O34" s="254"/>
      <c r="P34" s="254"/>
      <c r="Q34" s="326">
        <f t="shared" si="0"/>
        <v>0</v>
      </c>
      <c r="S34" s="252"/>
      <c r="T34" s="252"/>
      <c r="U34" s="252"/>
      <c r="V34" s="252"/>
      <c r="W34" s="252"/>
      <c r="X34" s="252"/>
      <c r="Y34" s="252"/>
      <c r="Z34" s="252"/>
      <c r="AA34" s="252"/>
      <c r="AB34" s="252"/>
      <c r="AC34" s="252"/>
    </row>
    <row r="35" spans="2:29" ht="13.5" thickBot="1">
      <c r="B35" s="301" t="s">
        <v>510</v>
      </c>
      <c r="C35" s="83" t="s">
        <v>511</v>
      </c>
      <c r="E35" s="316">
        <f>ROUND(Sum_62,0)</f>
        <v>0</v>
      </c>
      <c r="F35" s="196"/>
      <c r="G35" s="317">
        <f>Bokf62</f>
        <v>0</v>
      </c>
      <c r="H35" s="251"/>
      <c r="I35" s="318"/>
      <c r="J35" s="251"/>
      <c r="K35" s="194">
        <f>M35-G35-I35</f>
        <v>0</v>
      </c>
      <c r="M35" s="316">
        <f>IF(M34,IF(M34&lt;E36,E36-M34,0),0)</f>
        <v>0</v>
      </c>
      <c r="O35" s="196"/>
      <c r="P35" s="196"/>
      <c r="Q35" s="319">
        <f t="shared" si="0"/>
        <v>0</v>
      </c>
      <c r="S35" s="252"/>
      <c r="T35" s="252"/>
      <c r="U35" s="252"/>
      <c r="V35" s="252"/>
      <c r="W35" s="252"/>
      <c r="X35" s="252"/>
      <c r="Y35" s="252"/>
      <c r="Z35" s="252"/>
      <c r="AA35" s="252"/>
      <c r="AB35" s="252"/>
      <c r="AC35" s="252"/>
    </row>
    <row r="36" spans="3:29" ht="13.5" thickBot="1">
      <c r="C36" s="294" t="s">
        <v>512</v>
      </c>
      <c r="D36" s="294"/>
      <c r="E36" s="327">
        <f>E34+E35</f>
        <v>0</v>
      </c>
      <c r="F36" s="255"/>
      <c r="G36" s="256">
        <f>G34+G35</f>
        <v>0</v>
      </c>
      <c r="H36" s="328"/>
      <c r="I36" s="256">
        <f>I34+I35</f>
        <v>0</v>
      </c>
      <c r="J36" s="328"/>
      <c r="K36" s="256">
        <f>K34+K35</f>
        <v>0</v>
      </c>
      <c r="L36" s="329"/>
      <c r="M36" s="330">
        <f>M34+M35</f>
        <v>0</v>
      </c>
      <c r="N36" s="294"/>
      <c r="O36" s="256" t="e">
        <f>SumRKMER(O8:O32)</f>
        <v>#NAME?</v>
      </c>
      <c r="P36" s="255"/>
      <c r="Q36" s="331">
        <f>Q34+Q35</f>
        <v>0</v>
      </c>
      <c r="S36" s="252"/>
      <c r="T36" s="252"/>
      <c r="U36" s="252"/>
      <c r="V36" s="252"/>
      <c r="W36" s="252"/>
      <c r="X36" s="252"/>
      <c r="Y36" s="252"/>
      <c r="Z36" s="252"/>
      <c r="AA36" s="252"/>
      <c r="AB36" s="252"/>
      <c r="AC36" s="252"/>
    </row>
    <row r="37" spans="3:29" ht="13.5" thickTop="1">
      <c r="C37" s="332"/>
      <c r="D37" s="333"/>
      <c r="E37" s="86"/>
      <c r="G37" s="86"/>
      <c r="H37" s="251"/>
      <c r="I37" s="86"/>
      <c r="J37" s="251"/>
      <c r="K37" s="86"/>
      <c r="M37" s="195"/>
      <c r="O37" s="195"/>
      <c r="P37" s="195"/>
      <c r="Q37" s="86"/>
      <c r="S37" s="252"/>
      <c r="T37" s="252"/>
      <c r="U37" s="252"/>
      <c r="V37" s="252"/>
      <c r="W37" s="252"/>
      <c r="X37" s="252"/>
      <c r="Y37" s="252"/>
      <c r="Z37" s="252"/>
      <c r="AA37" s="252"/>
      <c r="AB37" s="252"/>
      <c r="AC37" s="252"/>
    </row>
    <row r="38" spans="2:29" ht="12.75" hidden="1">
      <c r="B38" s="334"/>
      <c r="C38" s="334"/>
      <c r="D38" s="86"/>
      <c r="E38" s="294"/>
      <c r="G38" s="86"/>
      <c r="H38" s="251"/>
      <c r="I38" s="86"/>
      <c r="J38" s="251"/>
      <c r="K38" s="86"/>
      <c r="L38" s="329"/>
      <c r="O38" s="296"/>
      <c r="Q38" s="86"/>
      <c r="S38" s="252"/>
      <c r="T38" s="252"/>
      <c r="U38" s="252"/>
      <c r="V38" s="252"/>
      <c r="W38" s="252"/>
      <c r="X38" s="252"/>
      <c r="Y38" s="252"/>
      <c r="Z38" s="252"/>
      <c r="AA38" s="252"/>
      <c r="AB38" s="252"/>
      <c r="AC38" s="252"/>
    </row>
    <row r="39" spans="2:29" ht="12.75" hidden="1">
      <c r="B39" s="301"/>
      <c r="G39" s="86"/>
      <c r="H39" s="251"/>
      <c r="I39" s="86"/>
      <c r="J39" s="251"/>
      <c r="K39" s="86"/>
      <c r="Q39" s="86"/>
      <c r="S39" s="252"/>
      <c r="T39" s="252"/>
      <c r="U39" s="252"/>
      <c r="V39" s="252"/>
      <c r="W39" s="252"/>
      <c r="X39" s="252"/>
      <c r="Y39" s="252"/>
      <c r="Z39" s="252"/>
      <c r="AA39" s="252"/>
      <c r="AB39" s="252"/>
      <c r="AC39" s="252"/>
    </row>
    <row r="40" spans="2:29" ht="12.75">
      <c r="B40" s="301"/>
      <c r="G40" s="86"/>
      <c r="H40" s="251"/>
      <c r="I40" s="86"/>
      <c r="J40" s="251"/>
      <c r="K40" s="86"/>
      <c r="Q40" s="86"/>
      <c r="S40" s="252"/>
      <c r="T40" s="252"/>
      <c r="U40" s="252"/>
      <c r="V40" s="252"/>
      <c r="W40" s="252"/>
      <c r="X40" s="252"/>
      <c r="Y40" s="252"/>
      <c r="Z40" s="252"/>
      <c r="AA40" s="252"/>
      <c r="AB40" s="252"/>
      <c r="AC40" s="252"/>
    </row>
    <row r="41" spans="2:29" ht="12.75">
      <c r="B41" s="301"/>
      <c r="C41" s="83" t="s">
        <v>686</v>
      </c>
      <c r="E41" s="296"/>
      <c r="G41" s="86"/>
      <c r="H41" s="251"/>
      <c r="I41" s="86"/>
      <c r="J41" s="251"/>
      <c r="K41" s="86"/>
      <c r="Q41" s="86"/>
      <c r="S41" s="252"/>
      <c r="T41" s="252"/>
      <c r="U41" s="252"/>
      <c r="V41" s="252"/>
      <c r="W41" s="252"/>
      <c r="X41" s="252"/>
      <c r="Y41" s="252"/>
      <c r="Z41" s="252"/>
      <c r="AA41" s="252"/>
      <c r="AB41" s="252"/>
      <c r="AC41" s="252"/>
    </row>
    <row r="42" spans="2:29" ht="12.75">
      <c r="B42" s="301"/>
      <c r="G42" s="86"/>
      <c r="H42" s="251"/>
      <c r="I42" s="86"/>
      <c r="J42" s="251"/>
      <c r="K42" s="86"/>
      <c r="Q42" s="86"/>
      <c r="S42" s="252"/>
      <c r="T42" s="252"/>
      <c r="U42" s="252"/>
      <c r="V42" s="252"/>
      <c r="W42" s="252"/>
      <c r="X42" s="252"/>
      <c r="Y42" s="252"/>
      <c r="Z42" s="252"/>
      <c r="AA42" s="252"/>
      <c r="AB42" s="252"/>
      <c r="AC42" s="252"/>
    </row>
    <row r="43" spans="2:29" ht="12.75">
      <c r="B43" s="301"/>
      <c r="G43" s="86"/>
      <c r="H43" s="251"/>
      <c r="I43" s="86"/>
      <c r="J43" s="251"/>
      <c r="K43" s="86"/>
      <c r="Q43" s="86"/>
      <c r="S43" s="252"/>
      <c r="T43" s="252"/>
      <c r="U43" s="252"/>
      <c r="V43" s="252"/>
      <c r="W43" s="252"/>
      <c r="X43" s="252"/>
      <c r="Y43" s="252"/>
      <c r="Z43" s="252"/>
      <c r="AA43" s="252"/>
      <c r="AB43" s="252"/>
      <c r="AC43" s="252"/>
    </row>
    <row r="44" spans="2:29" ht="12.75">
      <c r="B44" s="301"/>
      <c r="G44" s="86"/>
      <c r="H44" s="251"/>
      <c r="I44" s="86"/>
      <c r="J44" s="251"/>
      <c r="K44" s="86"/>
      <c r="Q44" s="86"/>
      <c r="S44" s="252"/>
      <c r="T44" s="252"/>
      <c r="U44" s="252"/>
      <c r="V44" s="252"/>
      <c r="W44" s="252"/>
      <c r="X44" s="252"/>
      <c r="Y44" s="252"/>
      <c r="Z44" s="252"/>
      <c r="AA44" s="252"/>
      <c r="AB44" s="252"/>
      <c r="AC44" s="252"/>
    </row>
    <row r="45" spans="2:29" ht="12.75">
      <c r="B45" s="83"/>
      <c r="F45" s="83"/>
      <c r="G45" s="86"/>
      <c r="H45" s="251"/>
      <c r="I45" s="86"/>
      <c r="J45" s="251"/>
      <c r="K45" s="86"/>
      <c r="M45" s="83"/>
      <c r="O45" s="83"/>
      <c r="P45" s="83"/>
      <c r="Q45" s="86"/>
      <c r="S45" s="252"/>
      <c r="T45" s="252"/>
      <c r="U45" s="252"/>
      <c r="V45" s="252"/>
      <c r="W45" s="252"/>
      <c r="X45" s="252"/>
      <c r="Y45" s="252"/>
      <c r="Z45" s="252"/>
      <c r="AA45" s="252"/>
      <c r="AB45" s="252"/>
      <c r="AC45" s="252"/>
    </row>
    <row r="46" spans="1:29" ht="12.75">
      <c r="A46" s="252"/>
      <c r="B46" s="252"/>
      <c r="C46" s="252"/>
      <c r="D46" s="252"/>
      <c r="E46" s="252"/>
      <c r="F46" s="252"/>
      <c r="G46" s="252"/>
      <c r="H46" s="257"/>
      <c r="I46" s="252"/>
      <c r="J46" s="257"/>
      <c r="K46" s="252"/>
      <c r="L46" s="257"/>
      <c r="M46" s="252"/>
      <c r="N46" s="252"/>
      <c r="O46" s="252"/>
      <c r="P46" s="252"/>
      <c r="Q46" s="252"/>
      <c r="R46" s="252"/>
      <c r="S46" s="252"/>
      <c r="T46" s="252"/>
      <c r="U46" s="252"/>
      <c r="V46" s="252"/>
      <c r="W46" s="252"/>
      <c r="X46" s="252"/>
      <c r="Y46" s="252"/>
      <c r="Z46" s="252"/>
      <c r="AA46" s="252"/>
      <c r="AB46" s="252"/>
      <c r="AC46" s="252"/>
    </row>
    <row r="47" spans="1:29" ht="12.75">
      <c r="A47" s="252"/>
      <c r="B47" s="252"/>
      <c r="C47" s="252"/>
      <c r="D47" s="252"/>
      <c r="E47" s="252"/>
      <c r="F47" s="252"/>
      <c r="G47" s="252"/>
      <c r="H47" s="257"/>
      <c r="I47" s="252"/>
      <c r="J47" s="257"/>
      <c r="K47" s="252"/>
      <c r="L47" s="257"/>
      <c r="M47" s="252"/>
      <c r="N47" s="252"/>
      <c r="O47" s="252"/>
      <c r="P47" s="252"/>
      <c r="Q47" s="252"/>
      <c r="R47" s="252"/>
      <c r="S47" s="252"/>
      <c r="T47" s="252"/>
      <c r="U47" s="252"/>
      <c r="V47" s="252"/>
      <c r="W47" s="252"/>
      <c r="X47" s="252"/>
      <c r="Y47" s="252"/>
      <c r="Z47" s="252"/>
      <c r="AA47" s="252"/>
      <c r="AB47" s="252"/>
      <c r="AC47" s="252"/>
    </row>
    <row r="48" spans="1:29" ht="12.75">
      <c r="A48" s="252"/>
      <c r="B48" s="252"/>
      <c r="C48" s="252"/>
      <c r="D48" s="252"/>
      <c r="E48" s="252"/>
      <c r="F48" s="252"/>
      <c r="G48" s="252"/>
      <c r="H48" s="257"/>
      <c r="I48" s="252"/>
      <c r="J48" s="257"/>
      <c r="K48" s="252"/>
      <c r="L48" s="257"/>
      <c r="M48" s="252"/>
      <c r="N48" s="252"/>
      <c r="O48" s="252"/>
      <c r="P48" s="252"/>
      <c r="Q48" s="252"/>
      <c r="R48" s="252"/>
      <c r="S48" s="252"/>
      <c r="T48" s="252"/>
      <c r="U48" s="252"/>
      <c r="V48" s="252"/>
      <c r="W48" s="252"/>
      <c r="X48" s="252"/>
      <c r="Y48" s="252"/>
      <c r="Z48" s="252"/>
      <c r="AA48" s="252"/>
      <c r="AB48" s="252"/>
      <c r="AC48" s="252"/>
    </row>
    <row r="49" spans="1:29" ht="12.75">
      <c r="A49" s="252"/>
      <c r="B49" s="252"/>
      <c r="C49" s="252"/>
      <c r="D49" s="252"/>
      <c r="E49" s="252"/>
      <c r="F49" s="252"/>
      <c r="G49" s="252"/>
      <c r="H49" s="257"/>
      <c r="I49" s="252"/>
      <c r="J49" s="257"/>
      <c r="K49" s="252"/>
      <c r="L49" s="257"/>
      <c r="M49" s="252"/>
      <c r="N49" s="252"/>
      <c r="O49" s="252"/>
      <c r="P49" s="252"/>
      <c r="Q49" s="252"/>
      <c r="R49" s="252"/>
      <c r="S49" s="252"/>
      <c r="T49" s="252"/>
      <c r="U49" s="252"/>
      <c r="V49" s="252"/>
      <c r="W49" s="252"/>
      <c r="X49" s="252"/>
      <c r="Y49" s="252"/>
      <c r="Z49" s="252"/>
      <c r="AA49" s="252"/>
      <c r="AB49" s="252"/>
      <c r="AC49" s="252"/>
    </row>
    <row r="50" spans="1:29" ht="12.75">
      <c r="A50" s="252"/>
      <c r="B50" s="252"/>
      <c r="C50" s="252"/>
      <c r="D50" s="252"/>
      <c r="E50" s="252"/>
      <c r="F50" s="252"/>
      <c r="G50" s="252"/>
      <c r="H50" s="257"/>
      <c r="I50" s="252"/>
      <c r="J50" s="257"/>
      <c r="K50" s="252"/>
      <c r="L50" s="257"/>
      <c r="M50" s="252"/>
      <c r="N50" s="252"/>
      <c r="O50" s="252"/>
      <c r="P50" s="252"/>
      <c r="Q50" s="252"/>
      <c r="R50" s="252"/>
      <c r="S50" s="252"/>
      <c r="T50" s="252"/>
      <c r="U50" s="252"/>
      <c r="V50" s="252"/>
      <c r="W50" s="252"/>
      <c r="X50" s="252"/>
      <c r="Y50" s="252"/>
      <c r="Z50" s="252"/>
      <c r="AA50" s="252"/>
      <c r="AB50" s="252"/>
      <c r="AC50" s="252"/>
    </row>
    <row r="51" spans="1:29" ht="12.75">
      <c r="A51" s="252"/>
      <c r="B51" s="252"/>
      <c r="C51" s="252"/>
      <c r="D51" s="252"/>
      <c r="E51" s="252"/>
      <c r="F51" s="252"/>
      <c r="G51" s="252"/>
      <c r="H51" s="257"/>
      <c r="I51" s="252"/>
      <c r="J51" s="257"/>
      <c r="K51" s="252"/>
      <c r="L51" s="257"/>
      <c r="M51" s="252"/>
      <c r="N51" s="252"/>
      <c r="O51" s="252"/>
      <c r="P51" s="252"/>
      <c r="Q51" s="252"/>
      <c r="R51" s="252"/>
      <c r="S51" s="252"/>
      <c r="T51" s="252"/>
      <c r="U51" s="252"/>
      <c r="V51" s="252"/>
      <c r="W51" s="252"/>
      <c r="X51" s="252"/>
      <c r="Y51" s="252"/>
      <c r="Z51" s="252"/>
      <c r="AA51" s="252"/>
      <c r="AB51" s="252"/>
      <c r="AC51" s="252"/>
    </row>
    <row r="52" spans="1:29" ht="12.75">
      <c r="A52" s="252"/>
      <c r="B52" s="252"/>
      <c r="C52" s="252"/>
      <c r="D52" s="252"/>
      <c r="E52" s="252"/>
      <c r="F52" s="252"/>
      <c r="G52" s="252"/>
      <c r="H52" s="257"/>
      <c r="I52" s="252"/>
      <c r="J52" s="257"/>
      <c r="K52" s="252"/>
      <c r="L52" s="257"/>
      <c r="M52" s="252"/>
      <c r="N52" s="252"/>
      <c r="O52" s="252"/>
      <c r="P52" s="252"/>
      <c r="Q52" s="252"/>
      <c r="R52" s="252"/>
      <c r="S52" s="252"/>
      <c r="T52" s="252"/>
      <c r="U52" s="252"/>
      <c r="V52" s="252"/>
      <c r="W52" s="252"/>
      <c r="X52" s="252"/>
      <c r="Y52" s="252"/>
      <c r="Z52" s="252"/>
      <c r="AA52" s="252"/>
      <c r="AB52" s="252"/>
      <c r="AC52" s="252"/>
    </row>
    <row r="53" spans="1:29" ht="12.75">
      <c r="A53" s="252"/>
      <c r="B53" s="252"/>
      <c r="C53" s="252"/>
      <c r="D53" s="252"/>
      <c r="E53" s="252"/>
      <c r="F53" s="252"/>
      <c r="G53" s="252"/>
      <c r="H53" s="257"/>
      <c r="I53" s="252"/>
      <c r="J53" s="257"/>
      <c r="K53" s="252"/>
      <c r="L53" s="257"/>
      <c r="M53" s="252"/>
      <c r="N53" s="252"/>
      <c r="O53" s="252"/>
      <c r="P53" s="252"/>
      <c r="Q53" s="252"/>
      <c r="R53" s="252"/>
      <c r="S53" s="252"/>
      <c r="T53" s="252"/>
      <c r="U53" s="252"/>
      <c r="V53" s="252"/>
      <c r="W53" s="252"/>
      <c r="X53" s="252"/>
      <c r="Y53" s="252"/>
      <c r="Z53" s="252"/>
      <c r="AA53" s="252"/>
      <c r="AB53" s="252"/>
      <c r="AC53" s="252"/>
    </row>
    <row r="54" spans="1:29" ht="12.75">
      <c r="A54" s="252"/>
      <c r="B54" s="252"/>
      <c r="C54" s="252"/>
      <c r="D54" s="252"/>
      <c r="E54" s="252"/>
      <c r="F54" s="252"/>
      <c r="G54" s="252"/>
      <c r="H54" s="257"/>
      <c r="I54" s="252"/>
      <c r="J54" s="257"/>
      <c r="K54" s="252"/>
      <c r="L54" s="257"/>
      <c r="M54" s="252"/>
      <c r="N54" s="252"/>
      <c r="O54" s="252"/>
      <c r="P54" s="252"/>
      <c r="Q54" s="252"/>
      <c r="R54" s="252"/>
      <c r="S54" s="252"/>
      <c r="T54" s="252"/>
      <c r="U54" s="252"/>
      <c r="V54" s="252"/>
      <c r="W54" s="252"/>
      <c r="X54" s="252"/>
      <c r="Y54" s="252"/>
      <c r="Z54" s="252"/>
      <c r="AA54" s="252"/>
      <c r="AB54" s="252"/>
      <c r="AC54" s="252"/>
    </row>
    <row r="55" spans="1:29" ht="12.75">
      <c r="A55" s="252"/>
      <c r="B55" s="252"/>
      <c r="C55" s="252"/>
      <c r="D55" s="252"/>
      <c r="E55" s="252"/>
      <c r="F55" s="252"/>
      <c r="G55" s="252"/>
      <c r="H55" s="257"/>
      <c r="I55" s="252"/>
      <c r="J55" s="257"/>
      <c r="K55" s="252"/>
      <c r="L55" s="257"/>
      <c r="M55" s="252"/>
      <c r="N55" s="252"/>
      <c r="O55" s="252"/>
      <c r="P55" s="252"/>
      <c r="Q55" s="252"/>
      <c r="R55" s="252"/>
      <c r="S55" s="252"/>
      <c r="T55" s="252"/>
      <c r="U55" s="252"/>
      <c r="V55" s="252"/>
      <c r="W55" s="252"/>
      <c r="X55" s="252"/>
      <c r="Y55" s="252"/>
      <c r="Z55" s="252"/>
      <c r="AA55" s="252"/>
      <c r="AB55" s="252"/>
      <c r="AC55" s="252"/>
    </row>
    <row r="56" spans="1:29" ht="12.75">
      <c r="A56" s="252"/>
      <c r="B56" s="252"/>
      <c r="C56" s="252"/>
      <c r="D56" s="252"/>
      <c r="E56" s="252"/>
      <c r="F56" s="252"/>
      <c r="G56" s="252"/>
      <c r="H56" s="257"/>
      <c r="I56" s="252"/>
      <c r="J56" s="257"/>
      <c r="K56" s="252"/>
      <c r="L56" s="257"/>
      <c r="M56" s="252"/>
      <c r="N56" s="252"/>
      <c r="O56" s="252"/>
      <c r="P56" s="252"/>
      <c r="Q56" s="252"/>
      <c r="R56" s="252"/>
      <c r="S56" s="252"/>
      <c r="T56" s="252"/>
      <c r="U56" s="252"/>
      <c r="V56" s="252"/>
      <c r="W56" s="252"/>
      <c r="X56" s="252"/>
      <c r="Y56" s="252"/>
      <c r="Z56" s="252"/>
      <c r="AA56" s="252"/>
      <c r="AB56" s="252"/>
      <c r="AC56" s="252"/>
    </row>
  </sheetData>
  <sheetProtection sheet="1"/>
  <printOptions/>
  <pageMargins left="0.5511811023622047" right="0.2362204724409449" top="0.3937007874015748" bottom="0.3937007874015748" header="0.15748031496062992" footer="0.2362204724409449"/>
  <pageSetup blackAndWhite="1" fitToHeight="1" fitToWidth="1" horizontalDpi="300" verticalDpi="300" orientation="landscape" paperSize="9" scale="96"/>
  <rowBreaks count="1" manualBreakCount="1">
    <brk id="42" max="65535" man="1"/>
  </rowBreaks>
  <colBreaks count="1" manualBreakCount="1">
    <brk id="28" min="1" max="42" man="1"/>
  </colBreaks>
</worksheet>
</file>

<file path=xl/worksheets/sheet12.xml><?xml version="1.0" encoding="utf-8"?>
<worksheet xmlns="http://schemas.openxmlformats.org/spreadsheetml/2006/main" xmlns:r="http://schemas.openxmlformats.org/officeDocument/2006/relationships">
  <sheetPr codeName="Ark7"/>
  <dimension ref="A1:J939"/>
  <sheetViews>
    <sheetView showGridLines="0" showRowColHeaders="0" showOutlineSymbols="0" workbookViewId="0" topLeftCell="A1">
      <pane ySplit="6" topLeftCell="BM7" activePane="bottomLeft" state="frozen"/>
      <selection pane="topLeft" activeCell="A1" sqref="A1"/>
      <selection pane="bottomLeft" activeCell="I16" sqref="I16"/>
    </sheetView>
  </sheetViews>
  <sheetFormatPr defaultColWidth="11.421875" defaultRowHeight="12.75"/>
  <cols>
    <col min="1" max="1" width="6.7109375" style="249" customWidth="1"/>
    <col min="2" max="2" width="32.7109375" style="1" customWidth="1"/>
    <col min="3" max="3" width="10.7109375" style="356" customWidth="1"/>
    <col min="4" max="4" width="2.7109375" style="41" customWidth="1"/>
    <col min="5" max="5" width="10.7109375" style="277" customWidth="1"/>
    <col min="6" max="6" width="2.7109375" style="41" customWidth="1"/>
    <col min="7" max="7" width="10.7109375" style="277" customWidth="1"/>
    <col min="8" max="8" width="2.7109375" style="44" customWidth="1"/>
    <col min="9" max="9" width="65.421875" style="0" customWidth="1"/>
    <col min="10" max="10" width="12.7109375" style="0" customWidth="1"/>
  </cols>
  <sheetData>
    <row r="1" spans="1:10" ht="3" customHeight="1">
      <c r="A1" s="149"/>
      <c r="B1" s="149"/>
      <c r="C1" s="345"/>
      <c r="D1" s="258"/>
      <c r="E1" s="387"/>
      <c r="F1" s="258"/>
      <c r="G1" s="264"/>
      <c r="H1" s="149"/>
      <c r="I1" s="149"/>
      <c r="J1" s="149"/>
    </row>
    <row r="2" spans="1:10" ht="3" customHeight="1">
      <c r="A2" s="149"/>
      <c r="B2" s="149"/>
      <c r="C2" s="345"/>
      <c r="D2" s="258"/>
      <c r="E2" s="387"/>
      <c r="F2" s="258"/>
      <c r="G2" s="264"/>
      <c r="H2" s="149"/>
      <c r="I2" s="149"/>
      <c r="J2" s="149"/>
    </row>
    <row r="3" spans="1:10" ht="26.25" customHeight="1">
      <c r="A3" s="149"/>
      <c r="B3" s="247" t="s">
        <v>666</v>
      </c>
      <c r="C3" s="281" t="s">
        <v>677</v>
      </c>
      <c r="D3" s="282"/>
      <c r="E3" s="281" t="s">
        <v>677</v>
      </c>
      <c r="F3" s="282"/>
      <c r="G3" s="291" t="s">
        <v>667</v>
      </c>
      <c r="H3" s="33"/>
      <c r="I3" s="149"/>
      <c r="J3" s="149"/>
    </row>
    <row r="4" spans="1:10" ht="18">
      <c r="A4" s="149"/>
      <c r="B4" s="247"/>
      <c r="C4" s="283" t="s">
        <v>679</v>
      </c>
      <c r="D4" s="284"/>
      <c r="E4" s="283" t="s">
        <v>679</v>
      </c>
      <c r="F4" s="284"/>
      <c r="G4" s="292" t="s">
        <v>680</v>
      </c>
      <c r="I4" s="149"/>
      <c r="J4" s="149"/>
    </row>
    <row r="5" spans="1:10" ht="12.75">
      <c r="A5" s="169"/>
      <c r="B5" s="250" t="s">
        <v>436</v>
      </c>
      <c r="C5" s="576">
        <v>40544</v>
      </c>
      <c r="D5" s="290"/>
      <c r="E5" s="289">
        <v>40544</v>
      </c>
      <c r="F5" s="280"/>
      <c r="G5" s="279"/>
      <c r="H5" s="33"/>
      <c r="I5" s="149"/>
      <c r="J5" s="149"/>
    </row>
    <row r="6" spans="1:10" ht="12.75">
      <c r="A6" s="248" t="s">
        <v>539</v>
      </c>
      <c r="B6" s="250" t="s">
        <v>737</v>
      </c>
      <c r="C6" s="577">
        <f>Bokf10+Bokf11+Bokf21+Bokf31+Bokf32+Bokf33+Bokf34+Bokf35+Bokf36+Bokf37+Bokf38+Bokf39+Bokf40+Bokf41+Bokf42+Bokf44+Bokf51+Bokf52+Bokf53+Bokf54+Bokf55+Bokf56+Bokf61+Bokf62</f>
        <v>0</v>
      </c>
      <c r="D6" s="290"/>
      <c r="E6" s="577">
        <v>0</v>
      </c>
      <c r="F6" s="280"/>
      <c r="G6" s="577">
        <f>G33+G100+G151+G236+G262+G333+G372+G402+G435+G469+G511+G538+G559+G583+G641+G665+G708+G733+G772+G796+G825+G871+G930+G934</f>
        <v>0</v>
      </c>
      <c r="I6" s="149"/>
      <c r="J6" s="149"/>
    </row>
    <row r="7" spans="1:10" ht="15">
      <c r="A7" s="228" t="s">
        <v>513</v>
      </c>
      <c r="B7" s="15"/>
      <c r="C7" s="346"/>
      <c r="D7" s="259"/>
      <c r="E7" s="265"/>
      <c r="F7" s="259"/>
      <c r="G7" s="279"/>
      <c r="H7" s="33"/>
      <c r="I7" s="149"/>
      <c r="J7" s="149"/>
    </row>
    <row r="8" spans="1:10" ht="12.75">
      <c r="A8" s="224">
        <v>101010</v>
      </c>
      <c r="B8" s="8" t="s">
        <v>540</v>
      </c>
      <c r="C8" s="347"/>
      <c r="D8" s="260"/>
      <c r="E8" s="266"/>
      <c r="F8" s="260"/>
      <c r="G8" s="266">
        <f>IF(E8&lt;&gt;C8,C8-E8,"")</f>
      </c>
      <c r="H8" s="41"/>
      <c r="I8" s="149"/>
      <c r="J8" s="149"/>
    </row>
    <row r="9" spans="1:10" ht="12.75">
      <c r="A9" s="224">
        <v>101011</v>
      </c>
      <c r="B9" s="8" t="s">
        <v>541</v>
      </c>
      <c r="C9" s="348"/>
      <c r="D9" s="260"/>
      <c r="E9" s="267"/>
      <c r="F9" s="260"/>
      <c r="G9" s="267">
        <f aca="true" t="shared" si="0" ref="G9:G32">IF(E9&lt;&gt;C9,C9-E9,"")</f>
      </c>
      <c r="H9" s="41"/>
      <c r="I9" s="149"/>
      <c r="J9" s="149"/>
    </row>
    <row r="10" spans="1:10" ht="12.75">
      <c r="A10" s="224">
        <v>101012</v>
      </c>
      <c r="B10" s="8" t="s">
        <v>542</v>
      </c>
      <c r="C10" s="348"/>
      <c r="D10" s="260"/>
      <c r="E10" s="267"/>
      <c r="F10" s="260"/>
      <c r="G10" s="267">
        <f t="shared" si="0"/>
      </c>
      <c r="H10" s="41"/>
      <c r="I10" s="149"/>
      <c r="J10" s="149"/>
    </row>
    <row r="11" spans="1:10" ht="12.75">
      <c r="A11" s="224">
        <v>101013</v>
      </c>
      <c r="B11" s="8" t="s">
        <v>543</v>
      </c>
      <c r="C11" s="348"/>
      <c r="D11" s="260"/>
      <c r="E11" s="267"/>
      <c r="F11" s="260"/>
      <c r="G11" s="267">
        <f t="shared" si="0"/>
      </c>
      <c r="H11" s="41"/>
      <c r="I11" s="149"/>
      <c r="J11" s="149"/>
    </row>
    <row r="12" spans="1:10" ht="12.75">
      <c r="A12" s="224">
        <v>101014</v>
      </c>
      <c r="B12" s="8" t="s">
        <v>544</v>
      </c>
      <c r="C12" s="348"/>
      <c r="D12" s="260"/>
      <c r="E12" s="267"/>
      <c r="F12" s="260"/>
      <c r="G12" s="267">
        <f t="shared" si="0"/>
      </c>
      <c r="H12" s="41"/>
      <c r="I12" s="149"/>
      <c r="J12" s="149"/>
    </row>
    <row r="13" spans="1:10" ht="12.75">
      <c r="A13" s="224">
        <v>101019</v>
      </c>
      <c r="B13" s="8" t="s">
        <v>548</v>
      </c>
      <c r="C13" s="348"/>
      <c r="D13" s="260"/>
      <c r="E13" s="267"/>
      <c r="F13" s="260"/>
      <c r="G13" s="267">
        <f t="shared" si="0"/>
      </c>
      <c r="H13" s="41"/>
      <c r="I13" s="149"/>
      <c r="J13" s="149"/>
    </row>
    <row r="14" spans="1:10" ht="12.75">
      <c r="A14" s="224">
        <v>101110</v>
      </c>
      <c r="B14" s="8" t="s">
        <v>360</v>
      </c>
      <c r="C14" s="348"/>
      <c r="D14" s="260"/>
      <c r="E14" s="267"/>
      <c r="F14" s="260"/>
      <c r="G14" s="267">
        <f>IF(E14&lt;&gt;C14,C14-E14,"")</f>
      </c>
      <c r="H14" s="41"/>
      <c r="I14" s="149"/>
      <c r="J14" s="149"/>
    </row>
    <row r="15" spans="1:10" ht="12.75">
      <c r="A15" s="224">
        <v>101218</v>
      </c>
      <c r="B15" s="8" t="s">
        <v>549</v>
      </c>
      <c r="C15" s="348"/>
      <c r="D15" s="260"/>
      <c r="E15" s="267"/>
      <c r="F15" s="260"/>
      <c r="G15" s="267">
        <f t="shared" si="0"/>
      </c>
      <c r="H15" s="41"/>
      <c r="I15" s="149"/>
      <c r="J15" s="149"/>
    </row>
    <row r="16" spans="1:10" ht="12.75">
      <c r="A16" s="224">
        <v>104010</v>
      </c>
      <c r="B16" s="8" t="s">
        <v>550</v>
      </c>
      <c r="C16" s="348"/>
      <c r="D16" s="260"/>
      <c r="E16" s="267"/>
      <c r="F16" s="260"/>
      <c r="G16" s="267">
        <f t="shared" si="0"/>
      </c>
      <c r="H16" s="41"/>
      <c r="I16" s="149"/>
      <c r="J16" s="149"/>
    </row>
    <row r="17" spans="1:10" ht="12.75">
      <c r="A17" s="224">
        <v>104016</v>
      </c>
      <c r="B17" s="10" t="s">
        <v>551</v>
      </c>
      <c r="C17" s="348"/>
      <c r="D17" s="260"/>
      <c r="E17" s="267"/>
      <c r="F17" s="260"/>
      <c r="G17" s="267">
        <f t="shared" si="0"/>
      </c>
      <c r="H17" s="41"/>
      <c r="I17" s="149"/>
      <c r="J17" s="149"/>
    </row>
    <row r="18" spans="1:10" ht="12.75">
      <c r="A18" s="224">
        <v>104090</v>
      </c>
      <c r="B18" s="10" t="s">
        <v>552</v>
      </c>
      <c r="C18" s="348"/>
      <c r="D18" s="260"/>
      <c r="E18" s="267"/>
      <c r="F18" s="260"/>
      <c r="G18" s="267">
        <f t="shared" si="0"/>
      </c>
      <c r="H18" s="41"/>
      <c r="I18" s="149"/>
      <c r="J18" s="149"/>
    </row>
    <row r="19" spans="1:10" ht="12.75">
      <c r="A19" s="224">
        <v>104091</v>
      </c>
      <c r="B19" s="9" t="s">
        <v>553</v>
      </c>
      <c r="C19" s="348"/>
      <c r="D19" s="260"/>
      <c r="E19" s="267"/>
      <c r="F19" s="260"/>
      <c r="G19" s="267">
        <f t="shared" si="0"/>
      </c>
      <c r="H19" s="41"/>
      <c r="I19" s="149"/>
      <c r="J19" s="149"/>
    </row>
    <row r="20" spans="1:10" ht="12.75">
      <c r="A20" s="224">
        <v>104095</v>
      </c>
      <c r="B20" s="53" t="s">
        <v>554</v>
      </c>
      <c r="C20" s="348"/>
      <c r="D20" s="260"/>
      <c r="E20" s="267"/>
      <c r="F20" s="260"/>
      <c r="G20" s="267">
        <f t="shared" si="0"/>
      </c>
      <c r="H20" s="41"/>
      <c r="I20" s="149"/>
      <c r="J20" s="149"/>
    </row>
    <row r="21" spans="1:10" ht="12.75">
      <c r="A21" s="224">
        <v>109010</v>
      </c>
      <c r="B21" s="52" t="s">
        <v>556</v>
      </c>
      <c r="C21" s="348"/>
      <c r="D21" s="260"/>
      <c r="E21" s="267"/>
      <c r="F21" s="260"/>
      <c r="G21" s="267">
        <f t="shared" si="0"/>
      </c>
      <c r="H21" s="41"/>
      <c r="I21" s="149"/>
      <c r="J21" s="149"/>
    </row>
    <row r="22" spans="1:10" ht="12.75">
      <c r="A22" s="224">
        <v>109013</v>
      </c>
      <c r="B22" s="9" t="s">
        <v>557</v>
      </c>
      <c r="C22" s="348"/>
      <c r="D22" s="260"/>
      <c r="E22" s="267"/>
      <c r="F22" s="260"/>
      <c r="G22" s="267">
        <f t="shared" si="0"/>
      </c>
      <c r="H22" s="41"/>
      <c r="I22" s="149"/>
      <c r="J22" s="149"/>
    </row>
    <row r="23" spans="1:10" ht="12.75">
      <c r="A23" s="224">
        <v>109022</v>
      </c>
      <c r="B23" s="9" t="s">
        <v>558</v>
      </c>
      <c r="C23" s="348"/>
      <c r="D23" s="260"/>
      <c r="E23" s="267"/>
      <c r="F23" s="260"/>
      <c r="G23" s="267">
        <f t="shared" si="0"/>
      </c>
      <c r="H23" s="41"/>
      <c r="I23" s="149"/>
      <c r="J23" s="149"/>
    </row>
    <row r="24" spans="1:10" ht="12.75">
      <c r="A24" s="224">
        <v>109029</v>
      </c>
      <c r="B24" s="9" t="s">
        <v>561</v>
      </c>
      <c r="C24" s="348"/>
      <c r="D24" s="260"/>
      <c r="E24" s="267"/>
      <c r="F24" s="260"/>
      <c r="G24" s="267">
        <f t="shared" si="0"/>
      </c>
      <c r="H24" s="41"/>
      <c r="I24" s="149"/>
      <c r="J24" s="149"/>
    </row>
    <row r="25" spans="1:10" ht="12.75">
      <c r="A25" s="224">
        <v>109060</v>
      </c>
      <c r="B25" s="9" t="s">
        <v>562</v>
      </c>
      <c r="C25" s="348"/>
      <c r="D25" s="260"/>
      <c r="E25" s="267"/>
      <c r="F25" s="260"/>
      <c r="G25" s="267">
        <f t="shared" si="0"/>
      </c>
      <c r="H25" s="41"/>
      <c r="I25" s="149"/>
      <c r="J25" s="149"/>
    </row>
    <row r="26" spans="1:10" ht="12.75">
      <c r="A26" s="224">
        <v>109061</v>
      </c>
      <c r="B26" s="9" t="s">
        <v>563</v>
      </c>
      <c r="C26" s="348"/>
      <c r="D26" s="260"/>
      <c r="E26" s="267"/>
      <c r="F26" s="260"/>
      <c r="G26" s="267">
        <f t="shared" si="0"/>
      </c>
      <c r="H26" s="41"/>
      <c r="I26" s="149"/>
      <c r="J26" s="149"/>
    </row>
    <row r="27" spans="1:10" ht="12.75">
      <c r="A27" s="224">
        <v>109069</v>
      </c>
      <c r="B27" s="9" t="s">
        <v>564</v>
      </c>
      <c r="C27" s="348"/>
      <c r="D27" s="260"/>
      <c r="E27" s="267"/>
      <c r="F27" s="260"/>
      <c r="G27" s="267">
        <f t="shared" si="0"/>
      </c>
      <c r="H27" s="41"/>
      <c r="I27" s="149"/>
      <c r="J27" s="149"/>
    </row>
    <row r="28" spans="1:10" ht="12.75">
      <c r="A28" s="224">
        <v>109070</v>
      </c>
      <c r="B28" s="9" t="s">
        <v>565</v>
      </c>
      <c r="C28" s="348"/>
      <c r="D28" s="260"/>
      <c r="E28" s="267"/>
      <c r="F28" s="260"/>
      <c r="G28" s="267">
        <f t="shared" si="0"/>
      </c>
      <c r="H28" s="41"/>
      <c r="I28" s="149"/>
      <c r="J28" s="149"/>
    </row>
    <row r="29" spans="1:10" ht="12.75">
      <c r="A29" s="224">
        <v>109072</v>
      </c>
      <c r="B29" s="9" t="s">
        <v>566</v>
      </c>
      <c r="C29" s="348"/>
      <c r="D29" s="260"/>
      <c r="E29" s="267"/>
      <c r="F29" s="260"/>
      <c r="G29" s="267">
        <f t="shared" si="0"/>
      </c>
      <c r="H29" s="41"/>
      <c r="I29" s="149"/>
      <c r="J29" s="149"/>
    </row>
    <row r="30" spans="1:10" ht="12.75">
      <c r="A30" s="224">
        <v>109073</v>
      </c>
      <c r="B30" s="9" t="s">
        <v>567</v>
      </c>
      <c r="C30" s="348"/>
      <c r="D30" s="260"/>
      <c r="E30" s="267"/>
      <c r="F30" s="260"/>
      <c r="G30" s="267">
        <f t="shared" si="0"/>
      </c>
      <c r="H30" s="41"/>
      <c r="I30" s="149"/>
      <c r="J30" s="149"/>
    </row>
    <row r="31" spans="1:10" ht="12.75">
      <c r="A31" s="224">
        <v>109078</v>
      </c>
      <c r="B31" s="9" t="s">
        <v>568</v>
      </c>
      <c r="C31" s="348"/>
      <c r="D31" s="260"/>
      <c r="E31" s="267"/>
      <c r="F31" s="260"/>
      <c r="G31" s="267">
        <f t="shared" si="0"/>
      </c>
      <c r="H31" s="41"/>
      <c r="I31" s="149"/>
      <c r="J31" s="149"/>
    </row>
    <row r="32" spans="1:10" ht="12.75">
      <c r="A32" s="224">
        <v>109093</v>
      </c>
      <c r="B32" s="218" t="s">
        <v>569</v>
      </c>
      <c r="C32" s="349"/>
      <c r="D32" s="260"/>
      <c r="E32" s="268"/>
      <c r="F32" s="260"/>
      <c r="G32" s="268">
        <f t="shared" si="0"/>
      </c>
      <c r="H32" s="41"/>
      <c r="I32" s="149"/>
      <c r="J32" s="149"/>
    </row>
    <row r="33" spans="1:10" ht="13.5" thickBot="1">
      <c r="A33" s="229" t="s">
        <v>401</v>
      </c>
      <c r="B33" s="6"/>
      <c r="C33" s="358">
        <f>SUM(C8:C32)</f>
        <v>0</v>
      </c>
      <c r="D33" s="260"/>
      <c r="E33" s="358">
        <v>0</v>
      </c>
      <c r="F33" s="260"/>
      <c r="G33" s="269">
        <f>SUM(G8:G32)</f>
        <v>0</v>
      </c>
      <c r="H33" s="41"/>
      <c r="I33" s="149"/>
      <c r="J33" s="149"/>
    </row>
    <row r="34" spans="1:10" ht="13.5" thickTop="1">
      <c r="A34" s="226"/>
      <c r="C34" s="350"/>
      <c r="D34" s="6"/>
      <c r="E34" s="388"/>
      <c r="F34" s="6"/>
      <c r="G34" s="270"/>
      <c r="H34" s="1"/>
      <c r="I34" s="149"/>
      <c r="J34" s="149"/>
    </row>
    <row r="35" spans="1:10" ht="15">
      <c r="A35" s="228" t="s">
        <v>516</v>
      </c>
      <c r="B35" s="2"/>
      <c r="C35" s="351"/>
      <c r="D35" s="261"/>
      <c r="E35" s="285"/>
      <c r="F35" s="261"/>
      <c r="G35" s="271"/>
      <c r="H35" s="171"/>
      <c r="I35" s="149"/>
      <c r="J35" s="149"/>
    </row>
    <row r="36" spans="1:10" ht="12.75">
      <c r="A36" s="224">
        <v>111015</v>
      </c>
      <c r="B36" s="8" t="s">
        <v>545</v>
      </c>
      <c r="C36" s="347"/>
      <c r="D36" s="260"/>
      <c r="E36" s="266"/>
      <c r="F36" s="260"/>
      <c r="G36" s="266">
        <f aca="true" t="shared" si="1" ref="G36:G99">IF(E36&lt;&gt;C36,C36-E36,"")</f>
      </c>
      <c r="H36" s="41"/>
      <c r="I36" s="149"/>
      <c r="J36" s="149"/>
    </row>
    <row r="37" spans="1:10" ht="12.75">
      <c r="A37" s="224">
        <v>111016</v>
      </c>
      <c r="B37" s="8" t="s">
        <v>546</v>
      </c>
      <c r="C37" s="357"/>
      <c r="D37" s="260"/>
      <c r="E37" s="278"/>
      <c r="F37" s="260"/>
      <c r="G37" s="278"/>
      <c r="H37" s="41"/>
      <c r="I37" s="149"/>
      <c r="J37" s="149"/>
    </row>
    <row r="38" spans="1:10" ht="12.75">
      <c r="A38" s="224">
        <v>111017</v>
      </c>
      <c r="B38" s="8" t="s">
        <v>547</v>
      </c>
      <c r="C38" s="357"/>
      <c r="D38" s="260"/>
      <c r="E38" s="278"/>
      <c r="F38" s="260"/>
      <c r="G38" s="278"/>
      <c r="H38" s="41"/>
      <c r="I38" s="149"/>
      <c r="J38" s="149"/>
    </row>
    <row r="39" spans="1:10" ht="12.75">
      <c r="A39" s="224">
        <v>111110</v>
      </c>
      <c r="B39" s="8" t="s">
        <v>360</v>
      </c>
      <c r="C39" s="357"/>
      <c r="D39" s="260"/>
      <c r="E39" s="278"/>
      <c r="F39" s="260"/>
      <c r="G39" s="278"/>
      <c r="H39" s="41"/>
      <c r="I39" s="149"/>
      <c r="J39" s="149"/>
    </row>
    <row r="40" spans="1:10" ht="12.75">
      <c r="A40" s="224">
        <v>111116</v>
      </c>
      <c r="B40" s="9" t="s">
        <v>200</v>
      </c>
      <c r="C40" s="357"/>
      <c r="D40" s="260"/>
      <c r="E40" s="278"/>
      <c r="F40" s="260"/>
      <c r="G40" s="278"/>
      <c r="H40" s="41"/>
      <c r="I40" s="149"/>
      <c r="J40" s="149"/>
    </row>
    <row r="41" spans="1:10" ht="12.75">
      <c r="A41" s="224">
        <v>111120</v>
      </c>
      <c r="B41" s="9" t="s">
        <v>571</v>
      </c>
      <c r="C41" s="348"/>
      <c r="D41" s="260"/>
      <c r="E41" s="267"/>
      <c r="F41" s="260"/>
      <c r="G41" s="267">
        <f t="shared" si="1"/>
      </c>
      <c r="H41" s="41"/>
      <c r="I41" s="149"/>
      <c r="J41" s="149"/>
    </row>
    <row r="42" spans="1:10" ht="12.75">
      <c r="A42" s="224">
        <v>111124</v>
      </c>
      <c r="B42" s="12" t="s">
        <v>613</v>
      </c>
      <c r="C42" s="348"/>
      <c r="D42" s="260"/>
      <c r="E42" s="267"/>
      <c r="F42" s="260"/>
      <c r="G42" s="267">
        <f t="shared" si="1"/>
      </c>
      <c r="H42" s="41"/>
      <c r="I42" s="149"/>
      <c r="J42" s="149"/>
    </row>
    <row r="43" spans="1:10" ht="12.75">
      <c r="A43" s="224">
        <v>111125</v>
      </c>
      <c r="B43" s="9" t="s">
        <v>614</v>
      </c>
      <c r="C43" s="348"/>
      <c r="D43" s="260"/>
      <c r="E43" s="267"/>
      <c r="F43" s="260"/>
      <c r="G43" s="267">
        <f t="shared" si="1"/>
      </c>
      <c r="H43" s="41"/>
      <c r="I43" s="149"/>
      <c r="J43" s="149"/>
    </row>
    <row r="44" spans="1:10" ht="12.75">
      <c r="A44" s="224">
        <v>111126</v>
      </c>
      <c r="B44" s="12" t="s">
        <v>572</v>
      </c>
      <c r="C44" s="348"/>
      <c r="D44" s="260"/>
      <c r="E44" s="267"/>
      <c r="F44" s="260"/>
      <c r="G44" s="267">
        <f t="shared" si="1"/>
      </c>
      <c r="H44" s="41"/>
      <c r="I44" s="149"/>
      <c r="J44" s="149"/>
    </row>
    <row r="45" spans="1:10" ht="12.75">
      <c r="A45" s="224">
        <v>111127</v>
      </c>
      <c r="B45" s="9" t="s">
        <v>573</v>
      </c>
      <c r="C45" s="348"/>
      <c r="D45" s="260"/>
      <c r="E45" s="267"/>
      <c r="F45" s="260"/>
      <c r="G45" s="267">
        <f t="shared" si="1"/>
      </c>
      <c r="H45" s="41"/>
      <c r="I45" s="149"/>
      <c r="J45" s="149"/>
    </row>
    <row r="46" spans="1:10" ht="12.75">
      <c r="A46" s="224">
        <v>111130</v>
      </c>
      <c r="B46" s="12" t="s">
        <v>429</v>
      </c>
      <c r="C46" s="348"/>
      <c r="D46" s="260"/>
      <c r="E46" s="267"/>
      <c r="F46" s="260"/>
      <c r="G46" s="267">
        <f t="shared" si="1"/>
      </c>
      <c r="H46" s="41"/>
      <c r="I46" s="149"/>
      <c r="J46" s="149"/>
    </row>
    <row r="47" spans="1:10" ht="12.75">
      <c r="A47" s="224">
        <v>111131</v>
      </c>
      <c r="B47" s="9" t="s">
        <v>432</v>
      </c>
      <c r="C47" s="348"/>
      <c r="D47" s="260"/>
      <c r="E47" s="267"/>
      <c r="F47" s="260"/>
      <c r="G47" s="267">
        <f t="shared" si="1"/>
      </c>
      <c r="H47" s="41"/>
      <c r="I47" s="149"/>
      <c r="J47" s="149"/>
    </row>
    <row r="48" spans="1:10" ht="12.75">
      <c r="A48" s="224">
        <v>111140</v>
      </c>
      <c r="B48" s="12" t="s">
        <v>574</v>
      </c>
      <c r="C48" s="348"/>
      <c r="D48" s="260"/>
      <c r="E48" s="267"/>
      <c r="F48" s="260"/>
      <c r="G48" s="267">
        <f t="shared" si="1"/>
      </c>
      <c r="H48" s="41"/>
      <c r="I48" s="149"/>
      <c r="J48" s="149"/>
    </row>
    <row r="49" spans="1:10" ht="12.75">
      <c r="A49" s="224">
        <v>111141</v>
      </c>
      <c r="B49" s="9" t="s">
        <v>575</v>
      </c>
      <c r="C49" s="348"/>
      <c r="D49" s="260"/>
      <c r="E49" s="267"/>
      <c r="F49" s="260"/>
      <c r="G49" s="267">
        <f t="shared" si="1"/>
      </c>
      <c r="H49" s="41"/>
      <c r="I49" s="149"/>
      <c r="J49" s="149"/>
    </row>
    <row r="50" spans="1:10" ht="12.75">
      <c r="A50" s="224">
        <v>111210</v>
      </c>
      <c r="B50" s="9" t="s">
        <v>576</v>
      </c>
      <c r="C50" s="348"/>
      <c r="D50" s="260"/>
      <c r="E50" s="267"/>
      <c r="F50" s="260"/>
      <c r="G50" s="267">
        <f t="shared" si="1"/>
      </c>
      <c r="H50" s="41"/>
      <c r="I50" s="149"/>
      <c r="J50" s="149"/>
    </row>
    <row r="51" spans="1:10" ht="12.75">
      <c r="A51" s="224">
        <v>111214</v>
      </c>
      <c r="B51" s="9" t="s">
        <v>577</v>
      </c>
      <c r="C51" s="348"/>
      <c r="D51" s="260"/>
      <c r="E51" s="267"/>
      <c r="F51" s="260"/>
      <c r="G51" s="267">
        <f t="shared" si="1"/>
      </c>
      <c r="H51" s="41"/>
      <c r="I51" s="149"/>
      <c r="J51" s="149"/>
    </row>
    <row r="52" spans="1:10" ht="12.75">
      <c r="A52" s="224">
        <v>111215</v>
      </c>
      <c r="B52" s="9" t="s">
        <v>578</v>
      </c>
      <c r="C52" s="348"/>
      <c r="D52" s="260"/>
      <c r="E52" s="267"/>
      <c r="F52" s="260"/>
      <c r="G52" s="267">
        <f t="shared" si="1"/>
      </c>
      <c r="H52" s="41"/>
      <c r="I52" s="149"/>
      <c r="J52" s="149"/>
    </row>
    <row r="53" spans="1:10" ht="12.75">
      <c r="A53" s="224">
        <v>111310</v>
      </c>
      <c r="B53" s="12" t="s">
        <v>579</v>
      </c>
      <c r="C53" s="348"/>
      <c r="D53" s="260"/>
      <c r="E53" s="267"/>
      <c r="F53" s="260"/>
      <c r="G53" s="267">
        <f t="shared" si="1"/>
      </c>
      <c r="H53" s="41"/>
      <c r="I53" s="149"/>
      <c r="J53" s="149"/>
    </row>
    <row r="54" spans="1:10" ht="12.75">
      <c r="A54" s="224">
        <v>111311</v>
      </c>
      <c r="B54" s="9" t="s">
        <v>580</v>
      </c>
      <c r="C54" s="348"/>
      <c r="D54" s="260"/>
      <c r="E54" s="267"/>
      <c r="F54" s="260"/>
      <c r="G54" s="267">
        <f t="shared" si="1"/>
      </c>
      <c r="H54" s="41"/>
      <c r="I54" s="149"/>
      <c r="J54" s="149"/>
    </row>
    <row r="55" spans="1:10" ht="12.75">
      <c r="A55" s="224">
        <v>111610</v>
      </c>
      <c r="B55" s="12" t="s">
        <v>581</v>
      </c>
      <c r="C55" s="348"/>
      <c r="D55" s="260"/>
      <c r="E55" s="267"/>
      <c r="F55" s="260"/>
      <c r="G55" s="267">
        <f t="shared" si="1"/>
      </c>
      <c r="H55" s="41"/>
      <c r="I55" s="149"/>
      <c r="J55" s="149"/>
    </row>
    <row r="56" spans="1:10" ht="12.75">
      <c r="A56" s="224">
        <v>111611</v>
      </c>
      <c r="B56" s="9" t="s">
        <v>583</v>
      </c>
      <c r="C56" s="348"/>
      <c r="D56" s="260"/>
      <c r="E56" s="267"/>
      <c r="F56" s="260"/>
      <c r="G56" s="267">
        <f t="shared" si="1"/>
      </c>
      <c r="H56" s="41"/>
      <c r="I56" s="149"/>
      <c r="J56" s="149"/>
    </row>
    <row r="57" spans="1:10" ht="12.75">
      <c r="A57" s="224">
        <v>111810</v>
      </c>
      <c r="B57" s="9" t="s">
        <v>584</v>
      </c>
      <c r="C57" s="348"/>
      <c r="D57" s="260"/>
      <c r="E57" s="267"/>
      <c r="F57" s="260"/>
      <c r="G57" s="267">
        <f t="shared" si="1"/>
      </c>
      <c r="H57" s="41"/>
      <c r="I57" s="149"/>
      <c r="J57" s="149"/>
    </row>
    <row r="58" spans="1:10" ht="12.75">
      <c r="A58" s="224">
        <v>111811</v>
      </c>
      <c r="B58" s="9" t="s">
        <v>585</v>
      </c>
      <c r="C58" s="348"/>
      <c r="D58" s="260"/>
      <c r="E58" s="267"/>
      <c r="F58" s="260"/>
      <c r="G58" s="267">
        <f t="shared" si="1"/>
      </c>
      <c r="H58" s="41"/>
      <c r="I58" s="149"/>
      <c r="J58" s="149"/>
    </row>
    <row r="59" spans="1:10" ht="12.75">
      <c r="A59" s="224">
        <v>113210</v>
      </c>
      <c r="B59" s="9" t="s">
        <v>586</v>
      </c>
      <c r="C59" s="348"/>
      <c r="D59" s="260"/>
      <c r="E59" s="267"/>
      <c r="F59" s="260"/>
      <c r="G59" s="267">
        <f t="shared" si="1"/>
      </c>
      <c r="H59" s="41"/>
      <c r="I59" s="149"/>
      <c r="J59" s="149"/>
    </row>
    <row r="60" spans="1:10" ht="12.75">
      <c r="A60" s="224">
        <v>113211</v>
      </c>
      <c r="B60" s="12" t="s">
        <v>587</v>
      </c>
      <c r="C60" s="348"/>
      <c r="D60" s="260"/>
      <c r="E60" s="267"/>
      <c r="F60" s="260"/>
      <c r="G60" s="267">
        <f t="shared" si="1"/>
      </c>
      <c r="H60" s="41"/>
      <c r="I60" s="149"/>
      <c r="J60" s="149"/>
    </row>
    <row r="61" spans="1:10" ht="12.75">
      <c r="A61" s="224">
        <v>114010</v>
      </c>
      <c r="B61" s="9" t="s">
        <v>550</v>
      </c>
      <c r="C61" s="348"/>
      <c r="D61" s="260"/>
      <c r="E61" s="267"/>
      <c r="F61" s="260"/>
      <c r="G61" s="267">
        <f t="shared" si="1"/>
      </c>
      <c r="H61" s="41"/>
      <c r="I61" s="149"/>
      <c r="J61" s="149"/>
    </row>
    <row r="62" spans="1:10" ht="12.75">
      <c r="A62" s="224">
        <v>114014</v>
      </c>
      <c r="B62" s="9" t="s">
        <v>588</v>
      </c>
      <c r="C62" s="348"/>
      <c r="D62" s="260"/>
      <c r="E62" s="267"/>
      <c r="F62" s="260"/>
      <c r="G62" s="267">
        <f t="shared" si="1"/>
      </c>
      <c r="H62" s="41"/>
      <c r="I62" s="149"/>
      <c r="J62" s="149"/>
    </row>
    <row r="63" spans="1:10" ht="12.75">
      <c r="A63" s="224">
        <v>114015</v>
      </c>
      <c r="B63" s="9" t="s">
        <v>589</v>
      </c>
      <c r="C63" s="348"/>
      <c r="D63" s="260"/>
      <c r="E63" s="267"/>
      <c r="F63" s="260"/>
      <c r="G63" s="267">
        <f t="shared" si="1"/>
      </c>
      <c r="H63" s="41"/>
      <c r="I63" s="149"/>
      <c r="J63" s="149"/>
    </row>
    <row r="64" spans="1:10" ht="12.75">
      <c r="A64" s="224">
        <v>114090</v>
      </c>
      <c r="B64" s="9" t="s">
        <v>552</v>
      </c>
      <c r="C64" s="348"/>
      <c r="D64" s="260"/>
      <c r="E64" s="267"/>
      <c r="F64" s="260"/>
      <c r="G64" s="267">
        <f t="shared" si="1"/>
      </c>
      <c r="H64" s="41"/>
      <c r="I64" s="149"/>
      <c r="J64" s="149"/>
    </row>
    <row r="65" spans="1:10" ht="12.75">
      <c r="A65" s="224">
        <v>114091</v>
      </c>
      <c r="B65" s="9" t="s">
        <v>553</v>
      </c>
      <c r="C65" s="348"/>
      <c r="D65" s="260"/>
      <c r="E65" s="267"/>
      <c r="F65" s="260"/>
      <c r="G65" s="267">
        <f t="shared" si="1"/>
      </c>
      <c r="H65" s="41"/>
      <c r="I65" s="149"/>
      <c r="J65" s="149"/>
    </row>
    <row r="66" spans="1:10" ht="12.75">
      <c r="A66" s="224">
        <v>114092</v>
      </c>
      <c r="B66" s="9" t="s">
        <v>590</v>
      </c>
      <c r="C66" s="348"/>
      <c r="D66" s="260"/>
      <c r="E66" s="267"/>
      <c r="F66" s="260"/>
      <c r="G66" s="267">
        <f t="shared" si="1"/>
      </c>
      <c r="H66" s="41"/>
      <c r="I66" s="149"/>
      <c r="J66" s="149"/>
    </row>
    <row r="67" spans="1:10" ht="12.75">
      <c r="A67" s="224">
        <v>114095</v>
      </c>
      <c r="B67" s="9" t="s">
        <v>554</v>
      </c>
      <c r="C67" s="348"/>
      <c r="D67" s="260"/>
      <c r="E67" s="267"/>
      <c r="F67" s="260"/>
      <c r="G67" s="267">
        <f t="shared" si="1"/>
      </c>
      <c r="H67" s="41"/>
      <c r="I67" s="149"/>
      <c r="J67" s="149"/>
    </row>
    <row r="68" spans="1:10" ht="12.75">
      <c r="A68" s="224">
        <v>116110</v>
      </c>
      <c r="B68" s="9" t="s">
        <v>591</v>
      </c>
      <c r="C68" s="348"/>
      <c r="D68" s="260"/>
      <c r="E68" s="267"/>
      <c r="F68" s="260"/>
      <c r="G68" s="267">
        <f t="shared" si="1"/>
      </c>
      <c r="H68" s="41"/>
      <c r="I68" s="149"/>
      <c r="J68" s="149"/>
    </row>
    <row r="69" spans="1:10" ht="12.75">
      <c r="A69" s="224">
        <v>116111</v>
      </c>
      <c r="B69" s="9" t="s">
        <v>592</v>
      </c>
      <c r="C69" s="348"/>
      <c r="D69" s="260"/>
      <c r="E69" s="267"/>
      <c r="F69" s="260"/>
      <c r="G69" s="267">
        <f t="shared" si="1"/>
      </c>
      <c r="H69" s="41"/>
      <c r="I69" s="149"/>
      <c r="J69" s="149"/>
    </row>
    <row r="70" spans="1:10" ht="12.75">
      <c r="A70" s="224">
        <v>116112</v>
      </c>
      <c r="B70" s="9" t="s">
        <v>363</v>
      </c>
      <c r="C70" s="348"/>
      <c r="D70" s="260"/>
      <c r="E70" s="267"/>
      <c r="F70" s="260"/>
      <c r="G70" s="267">
        <f>IF(E70&lt;&gt;C70,C70-E70,"")</f>
      </c>
      <c r="H70" s="41"/>
      <c r="I70" s="149"/>
      <c r="J70" s="149"/>
    </row>
    <row r="71" spans="1:10" ht="12.75">
      <c r="A71" s="224">
        <v>118620</v>
      </c>
      <c r="B71" s="9" t="s">
        <v>654</v>
      </c>
      <c r="C71" s="348"/>
      <c r="D71" s="260"/>
      <c r="E71" s="267"/>
      <c r="F71" s="260"/>
      <c r="G71" s="267">
        <f t="shared" si="1"/>
      </c>
      <c r="H71" s="41"/>
      <c r="I71" s="149"/>
      <c r="J71" s="149"/>
    </row>
    <row r="72" spans="1:10" ht="12.75">
      <c r="A72" s="224">
        <v>118621</v>
      </c>
      <c r="B72" s="9" t="s">
        <v>364</v>
      </c>
      <c r="C72" s="348"/>
      <c r="D72" s="260"/>
      <c r="E72" s="267"/>
      <c r="F72" s="260"/>
      <c r="G72" s="267">
        <f t="shared" si="1"/>
      </c>
      <c r="H72" s="41"/>
      <c r="I72" s="149"/>
      <c r="J72" s="149"/>
    </row>
    <row r="73" spans="1:10" ht="12.75">
      <c r="A73" s="224">
        <v>118622</v>
      </c>
      <c r="B73" s="9" t="s">
        <v>593</v>
      </c>
      <c r="C73" s="348"/>
      <c r="D73" s="260"/>
      <c r="E73" s="267"/>
      <c r="F73" s="260"/>
      <c r="G73" s="267">
        <f t="shared" si="1"/>
      </c>
      <c r="H73" s="41"/>
      <c r="I73" s="149"/>
      <c r="J73" s="149"/>
    </row>
    <row r="74" spans="1:10" ht="12.75">
      <c r="A74" s="224">
        <v>119010</v>
      </c>
      <c r="B74" s="9" t="s">
        <v>556</v>
      </c>
      <c r="C74" s="348"/>
      <c r="D74" s="260"/>
      <c r="E74" s="267"/>
      <c r="F74" s="260"/>
      <c r="G74" s="267">
        <f t="shared" si="1"/>
      </c>
      <c r="H74" s="41"/>
      <c r="I74" s="149"/>
      <c r="J74" s="149"/>
    </row>
    <row r="75" spans="1:10" ht="12.75">
      <c r="A75" s="224">
        <v>119013</v>
      </c>
      <c r="B75" s="9" t="s">
        <v>557</v>
      </c>
      <c r="C75" s="348"/>
      <c r="D75" s="260"/>
      <c r="E75" s="267"/>
      <c r="F75" s="260"/>
      <c r="G75" s="267">
        <f t="shared" si="1"/>
      </c>
      <c r="H75" s="41"/>
      <c r="I75" s="149"/>
      <c r="J75" s="149"/>
    </row>
    <row r="76" spans="1:10" ht="12.75">
      <c r="A76" s="224">
        <v>119022</v>
      </c>
      <c r="B76" s="9" t="s">
        <v>558</v>
      </c>
      <c r="C76" s="348"/>
      <c r="D76" s="260"/>
      <c r="E76" s="267"/>
      <c r="F76" s="260"/>
      <c r="G76" s="267">
        <f t="shared" si="1"/>
      </c>
      <c r="H76" s="41"/>
      <c r="I76" s="149"/>
      <c r="J76" s="149"/>
    </row>
    <row r="77" spans="1:10" ht="12.75">
      <c r="A77" s="224">
        <v>119025</v>
      </c>
      <c r="B77" s="9" t="s">
        <v>560</v>
      </c>
      <c r="C77" s="348"/>
      <c r="D77" s="260"/>
      <c r="E77" s="267"/>
      <c r="F77" s="260"/>
      <c r="G77" s="267">
        <f t="shared" si="1"/>
      </c>
      <c r="H77" s="41"/>
      <c r="I77" s="149"/>
      <c r="J77" s="149"/>
    </row>
    <row r="78" spans="1:10" ht="12.75">
      <c r="A78" s="224">
        <v>119029</v>
      </c>
      <c r="B78" s="9" t="s">
        <v>561</v>
      </c>
      <c r="C78" s="348"/>
      <c r="D78" s="260"/>
      <c r="E78" s="267"/>
      <c r="F78" s="260"/>
      <c r="G78" s="267">
        <f t="shared" si="1"/>
      </c>
      <c r="H78" s="41"/>
      <c r="I78" s="149"/>
      <c r="J78" s="149"/>
    </row>
    <row r="79" spans="1:10" ht="12.75">
      <c r="A79" s="224">
        <v>119030</v>
      </c>
      <c r="B79" s="9" t="s">
        <v>594</v>
      </c>
      <c r="C79" s="348"/>
      <c r="D79" s="260"/>
      <c r="E79" s="267"/>
      <c r="F79" s="260"/>
      <c r="G79" s="267">
        <f t="shared" si="1"/>
      </c>
      <c r="H79" s="41"/>
      <c r="I79" s="149"/>
      <c r="J79" s="149"/>
    </row>
    <row r="80" spans="1:10" ht="12.75">
      <c r="A80" s="224">
        <v>119040</v>
      </c>
      <c r="B80" s="9" t="s">
        <v>595</v>
      </c>
      <c r="C80" s="348"/>
      <c r="D80" s="260"/>
      <c r="E80" s="267"/>
      <c r="F80" s="260"/>
      <c r="G80" s="267">
        <f t="shared" si="1"/>
      </c>
      <c r="H80" s="41"/>
      <c r="I80" s="149"/>
      <c r="J80" s="149"/>
    </row>
    <row r="81" spans="1:10" ht="12.75">
      <c r="A81" s="224">
        <v>119042</v>
      </c>
      <c r="B81" s="9" t="s">
        <v>596</v>
      </c>
      <c r="C81" s="348"/>
      <c r="D81" s="260"/>
      <c r="E81" s="267"/>
      <c r="F81" s="260"/>
      <c r="G81" s="267">
        <f t="shared" si="1"/>
      </c>
      <c r="H81" s="41"/>
      <c r="I81" s="149"/>
      <c r="J81" s="149"/>
    </row>
    <row r="82" spans="1:10" ht="12.75">
      <c r="A82" s="224">
        <v>119044</v>
      </c>
      <c r="B82" s="9" t="s">
        <v>597</v>
      </c>
      <c r="C82" s="348"/>
      <c r="D82" s="260"/>
      <c r="E82" s="267"/>
      <c r="F82" s="260"/>
      <c r="G82" s="267">
        <f t="shared" si="1"/>
      </c>
      <c r="H82" s="41"/>
      <c r="I82" s="149"/>
      <c r="J82" s="149"/>
    </row>
    <row r="83" spans="1:10" ht="12.75">
      <c r="A83" s="224">
        <v>119060</v>
      </c>
      <c r="B83" s="9" t="s">
        <v>562</v>
      </c>
      <c r="C83" s="348"/>
      <c r="D83" s="260"/>
      <c r="E83" s="267"/>
      <c r="F83" s="260"/>
      <c r="G83" s="267">
        <f t="shared" si="1"/>
      </c>
      <c r="H83" s="41"/>
      <c r="I83" s="149"/>
      <c r="J83" s="149"/>
    </row>
    <row r="84" spans="1:10" ht="12.75">
      <c r="A84" s="224">
        <v>119061</v>
      </c>
      <c r="B84" s="151" t="s">
        <v>563</v>
      </c>
      <c r="C84" s="352"/>
      <c r="D84" s="262"/>
      <c r="E84" s="272"/>
      <c r="F84" s="262"/>
      <c r="G84" s="272">
        <f t="shared" si="1"/>
      </c>
      <c r="H84" s="263"/>
      <c r="I84" s="149"/>
      <c r="J84" s="149"/>
    </row>
    <row r="85" spans="1:10" ht="12.75">
      <c r="A85" s="224">
        <v>119069</v>
      </c>
      <c r="B85" s="151" t="s">
        <v>564</v>
      </c>
      <c r="C85" s="352"/>
      <c r="D85" s="262"/>
      <c r="E85" s="272"/>
      <c r="F85" s="262"/>
      <c r="G85" s="272">
        <f t="shared" si="1"/>
      </c>
      <c r="H85" s="263"/>
      <c r="I85" s="149"/>
      <c r="J85" s="149"/>
    </row>
    <row r="86" spans="1:10" ht="12.75">
      <c r="A86" s="224">
        <v>119070</v>
      </c>
      <c r="B86" s="151" t="s">
        <v>565</v>
      </c>
      <c r="C86" s="352"/>
      <c r="D86" s="262"/>
      <c r="E86" s="272"/>
      <c r="F86" s="262"/>
      <c r="G86" s="272">
        <f t="shared" si="1"/>
      </c>
      <c r="H86" s="263"/>
      <c r="I86" s="149"/>
      <c r="J86" s="149"/>
    </row>
    <row r="87" spans="1:10" ht="12.75">
      <c r="A87" s="224">
        <v>119072</v>
      </c>
      <c r="B87" s="151" t="s">
        <v>566</v>
      </c>
      <c r="C87" s="352"/>
      <c r="D87" s="262"/>
      <c r="E87" s="272"/>
      <c r="F87" s="262"/>
      <c r="G87" s="272">
        <f t="shared" si="1"/>
      </c>
      <c r="H87" s="263"/>
      <c r="I87" s="149"/>
      <c r="J87" s="149"/>
    </row>
    <row r="88" spans="1:10" ht="12.75">
      <c r="A88" s="224">
        <v>119073</v>
      </c>
      <c r="B88" s="151" t="s">
        <v>567</v>
      </c>
      <c r="C88" s="352"/>
      <c r="D88" s="262"/>
      <c r="E88" s="272"/>
      <c r="F88" s="262"/>
      <c r="G88" s="272">
        <f t="shared" si="1"/>
      </c>
      <c r="H88" s="263"/>
      <c r="I88" s="149"/>
      <c r="J88" s="149"/>
    </row>
    <row r="89" spans="1:10" ht="12.75">
      <c r="A89" s="224">
        <v>119077</v>
      </c>
      <c r="B89" s="151" t="s">
        <v>598</v>
      </c>
      <c r="C89" s="352"/>
      <c r="D89" s="262"/>
      <c r="E89" s="272"/>
      <c r="F89" s="262"/>
      <c r="G89" s="272">
        <f t="shared" si="1"/>
      </c>
      <c r="H89" s="263"/>
      <c r="I89" s="149"/>
      <c r="J89" s="149"/>
    </row>
    <row r="90" spans="1:10" ht="12.75">
      <c r="A90" s="224">
        <v>119078</v>
      </c>
      <c r="B90" s="151" t="s">
        <v>568</v>
      </c>
      <c r="C90" s="352"/>
      <c r="D90" s="262"/>
      <c r="E90" s="272"/>
      <c r="F90" s="262"/>
      <c r="G90" s="272">
        <f t="shared" si="1"/>
      </c>
      <c r="H90" s="263"/>
      <c r="I90" s="149"/>
      <c r="J90" s="149"/>
    </row>
    <row r="91" spans="1:10" ht="12.75">
      <c r="A91" s="224">
        <v>119081</v>
      </c>
      <c r="B91" s="151" t="s">
        <v>599</v>
      </c>
      <c r="C91" s="352"/>
      <c r="D91" s="262"/>
      <c r="E91" s="272"/>
      <c r="F91" s="262"/>
      <c r="G91" s="272">
        <f t="shared" si="1"/>
      </c>
      <c r="H91" s="263"/>
      <c r="I91" s="149"/>
      <c r="J91" s="149"/>
    </row>
    <row r="92" spans="1:10" ht="12.75">
      <c r="A92" s="224">
        <v>119082</v>
      </c>
      <c r="B92" s="151" t="s">
        <v>600</v>
      </c>
      <c r="C92" s="352"/>
      <c r="D92" s="262"/>
      <c r="E92" s="272"/>
      <c r="F92" s="262"/>
      <c r="G92" s="272">
        <f t="shared" si="1"/>
      </c>
      <c r="H92" s="263"/>
      <c r="I92" s="149"/>
      <c r="J92" s="149"/>
    </row>
    <row r="93" spans="1:10" ht="12.75">
      <c r="A93" s="224">
        <v>119083</v>
      </c>
      <c r="B93" s="151" t="s">
        <v>601</v>
      </c>
      <c r="C93" s="352"/>
      <c r="D93" s="262"/>
      <c r="E93" s="272"/>
      <c r="F93" s="262"/>
      <c r="G93" s="272">
        <f t="shared" si="1"/>
      </c>
      <c r="H93" s="263"/>
      <c r="I93" s="149"/>
      <c r="J93" s="149"/>
    </row>
    <row r="94" spans="1:10" ht="12.75">
      <c r="A94" s="224">
        <v>119084</v>
      </c>
      <c r="B94" s="151" t="s">
        <v>602</v>
      </c>
      <c r="C94" s="352"/>
      <c r="D94" s="262"/>
      <c r="E94" s="272"/>
      <c r="F94" s="262"/>
      <c r="G94" s="272">
        <f t="shared" si="1"/>
      </c>
      <c r="H94" s="263"/>
      <c r="I94" s="149"/>
      <c r="J94" s="149"/>
    </row>
    <row r="95" spans="1:10" ht="12.75">
      <c r="A95" s="224">
        <v>119085</v>
      </c>
      <c r="B95" s="151" t="s">
        <v>603</v>
      </c>
      <c r="C95" s="352"/>
      <c r="D95" s="262"/>
      <c r="E95" s="272"/>
      <c r="F95" s="262"/>
      <c r="G95" s="272">
        <f t="shared" si="1"/>
      </c>
      <c r="H95" s="263"/>
      <c r="I95" s="149"/>
      <c r="J95" s="149"/>
    </row>
    <row r="96" spans="1:10" ht="12.75">
      <c r="A96" s="224">
        <v>119090</v>
      </c>
      <c r="B96" s="154" t="s">
        <v>604</v>
      </c>
      <c r="C96" s="352"/>
      <c r="D96" s="262"/>
      <c r="E96" s="272"/>
      <c r="F96" s="262"/>
      <c r="G96" s="272">
        <f t="shared" si="1"/>
      </c>
      <c r="H96" s="263"/>
      <c r="I96" s="149"/>
      <c r="J96" s="149"/>
    </row>
    <row r="97" spans="1:10" ht="12.75">
      <c r="A97" s="224">
        <v>119091</v>
      </c>
      <c r="B97" s="154" t="s">
        <v>605</v>
      </c>
      <c r="C97" s="352"/>
      <c r="D97" s="262"/>
      <c r="E97" s="272"/>
      <c r="F97" s="262"/>
      <c r="G97" s="272">
        <f t="shared" si="1"/>
      </c>
      <c r="H97" s="263"/>
      <c r="I97" s="149"/>
      <c r="J97" s="149"/>
    </row>
    <row r="98" spans="1:10" ht="12.75">
      <c r="A98" s="224">
        <v>119092</v>
      </c>
      <c r="B98" s="154" t="s">
        <v>606</v>
      </c>
      <c r="C98" s="352"/>
      <c r="D98" s="262"/>
      <c r="E98" s="272"/>
      <c r="F98" s="262"/>
      <c r="G98" s="272">
        <f t="shared" si="1"/>
      </c>
      <c r="H98" s="263"/>
      <c r="I98" s="149"/>
      <c r="J98" s="149"/>
    </row>
    <row r="99" spans="1:10" ht="12.75">
      <c r="A99" s="224">
        <v>119093</v>
      </c>
      <c r="B99" s="218" t="s">
        <v>569</v>
      </c>
      <c r="C99" s="349"/>
      <c r="D99" s="260"/>
      <c r="E99" s="268"/>
      <c r="F99" s="260"/>
      <c r="G99" s="268">
        <f t="shared" si="1"/>
      </c>
      <c r="H99" s="41"/>
      <c r="I99" s="149"/>
      <c r="J99" s="149"/>
    </row>
    <row r="100" spans="1:10" ht="13.5" thickBot="1">
      <c r="A100" s="230" t="s">
        <v>401</v>
      </c>
      <c r="B100" s="157"/>
      <c r="C100" s="358">
        <f>SUM(C36:C99)</f>
        <v>0</v>
      </c>
      <c r="D100" s="260"/>
      <c r="E100" s="358">
        <v>0</v>
      </c>
      <c r="F100" s="260"/>
      <c r="G100" s="273">
        <f>SUM(G36:G99)</f>
        <v>0</v>
      </c>
      <c r="H100" s="41"/>
      <c r="I100" s="149"/>
      <c r="J100" s="149"/>
    </row>
    <row r="101" spans="1:10" ht="13.5" thickTop="1">
      <c r="A101" s="226"/>
      <c r="C101" s="353"/>
      <c r="E101" s="274"/>
      <c r="G101" s="274"/>
      <c r="H101" s="41"/>
      <c r="I101" s="149"/>
      <c r="J101" s="149"/>
    </row>
    <row r="102" spans="1:10" ht="15">
      <c r="A102" s="228" t="s">
        <v>518</v>
      </c>
      <c r="B102" s="2"/>
      <c r="C102" s="351"/>
      <c r="D102" s="261"/>
      <c r="E102" s="285"/>
      <c r="F102" s="261"/>
      <c r="G102" s="285"/>
      <c r="H102" s="171"/>
      <c r="I102" s="149"/>
      <c r="J102" s="149"/>
    </row>
    <row r="103" spans="1:10" ht="12.75">
      <c r="A103" s="224">
        <v>211116</v>
      </c>
      <c r="B103" s="9" t="s">
        <v>200</v>
      </c>
      <c r="C103" s="347"/>
      <c r="D103" s="260"/>
      <c r="E103" s="266"/>
      <c r="F103" s="260"/>
      <c r="G103" s="266">
        <f aca="true" t="shared" si="2" ref="G103:G150">IF(E103&lt;&gt;C103,C103-E103,"")</f>
      </c>
      <c r="H103" s="41"/>
      <c r="I103" s="149"/>
      <c r="J103" s="149"/>
    </row>
    <row r="104" spans="1:10" ht="12.75">
      <c r="A104" s="224">
        <v>211120</v>
      </c>
      <c r="B104" s="9" t="s">
        <v>571</v>
      </c>
      <c r="C104" s="348"/>
      <c r="D104" s="260"/>
      <c r="E104" s="267"/>
      <c r="F104" s="260"/>
      <c r="G104" s="267">
        <f t="shared" si="2"/>
      </c>
      <c r="H104" s="41"/>
      <c r="I104" s="149"/>
      <c r="J104" s="149"/>
    </row>
    <row r="105" spans="1:10" ht="12.75">
      <c r="A105" s="224">
        <v>211124</v>
      </c>
      <c r="B105" s="12" t="s">
        <v>613</v>
      </c>
      <c r="C105" s="348"/>
      <c r="D105" s="260"/>
      <c r="E105" s="267"/>
      <c r="F105" s="260"/>
      <c r="G105" s="267">
        <f t="shared" si="2"/>
      </c>
      <c r="H105" s="41"/>
      <c r="I105" s="149"/>
      <c r="J105" s="149"/>
    </row>
    <row r="106" spans="1:10" ht="12.75">
      <c r="A106" s="224">
        <v>211125</v>
      </c>
      <c r="B106" s="9" t="s">
        <v>614</v>
      </c>
      <c r="C106" s="348"/>
      <c r="D106" s="260"/>
      <c r="E106" s="267"/>
      <c r="F106" s="260"/>
      <c r="G106" s="267">
        <f t="shared" si="2"/>
      </c>
      <c r="H106" s="41"/>
      <c r="I106" s="149"/>
      <c r="J106" s="149"/>
    </row>
    <row r="107" spans="1:10" ht="12.75">
      <c r="A107" s="224">
        <v>211126</v>
      </c>
      <c r="B107" s="12" t="s">
        <v>572</v>
      </c>
      <c r="C107" s="348"/>
      <c r="D107" s="260"/>
      <c r="E107" s="267"/>
      <c r="F107" s="260"/>
      <c r="G107" s="267">
        <f t="shared" si="2"/>
      </c>
      <c r="H107" s="41"/>
      <c r="I107" s="149"/>
      <c r="J107" s="149"/>
    </row>
    <row r="108" spans="1:10" ht="12.75">
      <c r="A108" s="224">
        <v>211127</v>
      </c>
      <c r="B108" s="9" t="s">
        <v>573</v>
      </c>
      <c r="C108" s="348"/>
      <c r="D108" s="260"/>
      <c r="E108" s="267"/>
      <c r="F108" s="260"/>
      <c r="G108" s="267">
        <f t="shared" si="2"/>
      </c>
      <c r="H108" s="41"/>
      <c r="I108" s="149"/>
      <c r="J108" s="149"/>
    </row>
    <row r="109" spans="1:10" ht="12.75">
      <c r="A109" s="224">
        <v>211130</v>
      </c>
      <c r="B109" s="12" t="s">
        <v>429</v>
      </c>
      <c r="C109" s="348"/>
      <c r="D109" s="260"/>
      <c r="E109" s="267"/>
      <c r="F109" s="260"/>
      <c r="G109" s="267">
        <f t="shared" si="2"/>
      </c>
      <c r="H109" s="41"/>
      <c r="I109" s="149"/>
      <c r="J109" s="149"/>
    </row>
    <row r="110" spans="1:10" ht="12.75">
      <c r="A110" s="224">
        <v>211131</v>
      </c>
      <c r="B110" s="9" t="s">
        <v>432</v>
      </c>
      <c r="C110" s="348"/>
      <c r="D110" s="260"/>
      <c r="E110" s="267"/>
      <c r="F110" s="260"/>
      <c r="G110" s="267">
        <f t="shared" si="2"/>
      </c>
      <c r="H110" s="41"/>
      <c r="I110" s="149"/>
      <c r="J110" s="149"/>
    </row>
    <row r="111" spans="1:10" ht="12.75">
      <c r="A111" s="224">
        <v>211140</v>
      </c>
      <c r="B111" s="9" t="s">
        <v>574</v>
      </c>
      <c r="C111" s="348"/>
      <c r="D111" s="260"/>
      <c r="E111" s="267"/>
      <c r="F111" s="260"/>
      <c r="G111" s="267">
        <f t="shared" si="2"/>
      </c>
      <c r="H111" s="41"/>
      <c r="I111" s="149"/>
      <c r="J111" s="149"/>
    </row>
    <row r="112" spans="1:10" ht="12.75">
      <c r="A112" s="224">
        <v>211141</v>
      </c>
      <c r="B112" s="9" t="s">
        <v>575</v>
      </c>
      <c r="C112" s="348"/>
      <c r="D112" s="260"/>
      <c r="E112" s="267"/>
      <c r="F112" s="260"/>
      <c r="G112" s="267">
        <f t="shared" si="2"/>
      </c>
      <c r="H112" s="41"/>
      <c r="I112" s="149"/>
      <c r="J112" s="149"/>
    </row>
    <row r="113" spans="1:10" ht="12.75">
      <c r="A113" s="224">
        <v>211210</v>
      </c>
      <c r="B113" s="12" t="s">
        <v>576</v>
      </c>
      <c r="C113" s="348"/>
      <c r="D113" s="260"/>
      <c r="E113" s="267"/>
      <c r="F113" s="260"/>
      <c r="G113" s="267">
        <f t="shared" si="2"/>
      </c>
      <c r="H113" s="41"/>
      <c r="I113" s="149"/>
      <c r="J113" s="149"/>
    </row>
    <row r="114" spans="1:10" ht="12.75">
      <c r="A114" s="224">
        <v>211214</v>
      </c>
      <c r="B114" s="9" t="s">
        <v>577</v>
      </c>
      <c r="C114" s="348"/>
      <c r="D114" s="260"/>
      <c r="E114" s="267"/>
      <c r="F114" s="260"/>
      <c r="G114" s="267">
        <f t="shared" si="2"/>
      </c>
      <c r="H114" s="41"/>
      <c r="I114" s="149"/>
      <c r="J114" s="149"/>
    </row>
    <row r="115" spans="1:10" ht="12.75">
      <c r="A115" s="224">
        <v>211215</v>
      </c>
      <c r="B115" s="12" t="s">
        <v>578</v>
      </c>
      <c r="C115" s="348"/>
      <c r="D115" s="260"/>
      <c r="E115" s="267"/>
      <c r="F115" s="260"/>
      <c r="G115" s="267">
        <f t="shared" si="2"/>
      </c>
      <c r="H115" s="41"/>
      <c r="I115" s="149"/>
      <c r="J115" s="149"/>
    </row>
    <row r="116" spans="1:10" ht="12.75">
      <c r="A116" s="224">
        <v>211240</v>
      </c>
      <c r="B116" s="9" t="s">
        <v>607</v>
      </c>
      <c r="C116" s="348"/>
      <c r="D116" s="260"/>
      <c r="E116" s="267"/>
      <c r="F116" s="260"/>
      <c r="G116" s="267">
        <f t="shared" si="2"/>
      </c>
      <c r="H116" s="41"/>
      <c r="I116" s="149"/>
      <c r="J116" s="149"/>
    </row>
    <row r="117" spans="1:10" ht="12.75">
      <c r="A117" s="224">
        <v>211241</v>
      </c>
      <c r="B117" s="9" t="s">
        <v>608</v>
      </c>
      <c r="C117" s="348"/>
      <c r="D117" s="260"/>
      <c r="E117" s="267"/>
      <c r="F117" s="260"/>
      <c r="G117" s="267">
        <f t="shared" si="2"/>
      </c>
      <c r="H117" s="41"/>
      <c r="I117" s="149"/>
      <c r="J117" s="149"/>
    </row>
    <row r="118" spans="1:10" ht="12.75">
      <c r="A118" s="224">
        <v>211310</v>
      </c>
      <c r="B118" s="9" t="s">
        <v>579</v>
      </c>
      <c r="C118" s="348"/>
      <c r="D118" s="260"/>
      <c r="E118" s="267"/>
      <c r="F118" s="260"/>
      <c r="G118" s="267">
        <f t="shared" si="2"/>
      </c>
      <c r="H118" s="41"/>
      <c r="I118" s="149"/>
      <c r="J118" s="149"/>
    </row>
    <row r="119" spans="1:10" ht="12.75">
      <c r="A119" s="224">
        <v>211311</v>
      </c>
      <c r="B119" s="9" t="s">
        <v>580</v>
      </c>
      <c r="C119" s="348"/>
      <c r="D119" s="260"/>
      <c r="E119" s="267"/>
      <c r="F119" s="260"/>
      <c r="G119" s="267">
        <f t="shared" si="2"/>
      </c>
      <c r="H119" s="41"/>
      <c r="I119" s="149"/>
      <c r="J119" s="149"/>
    </row>
    <row r="120" spans="1:10" ht="12.75">
      <c r="A120" s="224">
        <v>211610</v>
      </c>
      <c r="B120" s="9" t="s">
        <v>581</v>
      </c>
      <c r="C120" s="348"/>
      <c r="D120" s="260"/>
      <c r="E120" s="267"/>
      <c r="F120" s="260"/>
      <c r="G120" s="267">
        <f t="shared" si="2"/>
      </c>
      <c r="H120" s="41"/>
      <c r="I120" s="149"/>
      <c r="J120" s="149"/>
    </row>
    <row r="121" spans="1:10" ht="12.75">
      <c r="A121" s="224">
        <v>211611</v>
      </c>
      <c r="B121" s="9" t="s">
        <v>583</v>
      </c>
      <c r="C121" s="348"/>
      <c r="D121" s="260"/>
      <c r="E121" s="267"/>
      <c r="F121" s="260"/>
      <c r="G121" s="267">
        <f t="shared" si="2"/>
      </c>
      <c r="H121" s="41"/>
      <c r="I121" s="149"/>
      <c r="J121" s="149"/>
    </row>
    <row r="122" spans="1:10" ht="12.75">
      <c r="A122" s="224">
        <v>211810</v>
      </c>
      <c r="B122" s="12" t="s">
        <v>584</v>
      </c>
      <c r="C122" s="348"/>
      <c r="D122" s="260"/>
      <c r="E122" s="267"/>
      <c r="F122" s="260"/>
      <c r="G122" s="267">
        <f t="shared" si="2"/>
      </c>
      <c r="H122" s="41"/>
      <c r="I122" s="149"/>
      <c r="J122" s="149"/>
    </row>
    <row r="123" spans="1:10" ht="12.75">
      <c r="A123" s="224">
        <v>211811</v>
      </c>
      <c r="B123" s="9" t="s">
        <v>585</v>
      </c>
      <c r="C123" s="348"/>
      <c r="D123" s="260"/>
      <c r="E123" s="267"/>
      <c r="F123" s="260"/>
      <c r="G123" s="267">
        <f t="shared" si="2"/>
      </c>
      <c r="H123" s="41"/>
      <c r="I123" s="149"/>
      <c r="J123" s="149"/>
    </row>
    <row r="124" spans="1:10" ht="12.75">
      <c r="A124" s="224">
        <v>213210</v>
      </c>
      <c r="B124" s="12" t="s">
        <v>586</v>
      </c>
      <c r="C124" s="348"/>
      <c r="D124" s="260"/>
      <c r="E124" s="267"/>
      <c r="F124" s="260"/>
      <c r="G124" s="267">
        <f t="shared" si="2"/>
      </c>
      <c r="H124" s="41"/>
      <c r="I124" s="149"/>
      <c r="J124" s="149"/>
    </row>
    <row r="125" spans="1:10" ht="12.75">
      <c r="A125" s="224">
        <v>213211</v>
      </c>
      <c r="B125" s="9" t="s">
        <v>587</v>
      </c>
      <c r="C125" s="348"/>
      <c r="D125" s="260"/>
      <c r="E125" s="267"/>
      <c r="F125" s="260"/>
      <c r="G125" s="267">
        <f t="shared" si="2"/>
      </c>
      <c r="H125" s="41"/>
      <c r="I125" s="149"/>
      <c r="J125" s="149"/>
    </row>
    <row r="126" spans="1:10" ht="12.75">
      <c r="A126" s="224">
        <v>214010</v>
      </c>
      <c r="B126" s="12" t="s">
        <v>550</v>
      </c>
      <c r="C126" s="348"/>
      <c r="D126" s="260"/>
      <c r="E126" s="267"/>
      <c r="F126" s="260"/>
      <c r="G126" s="267">
        <f t="shared" si="2"/>
      </c>
      <c r="H126" s="41"/>
      <c r="I126" s="149"/>
      <c r="J126" s="149"/>
    </row>
    <row r="127" spans="1:10" ht="12.75">
      <c r="A127" s="224">
        <v>214014</v>
      </c>
      <c r="B127" s="9" t="s">
        <v>588</v>
      </c>
      <c r="C127" s="348"/>
      <c r="D127" s="260"/>
      <c r="E127" s="267"/>
      <c r="F127" s="260"/>
      <c r="G127" s="267">
        <f t="shared" si="2"/>
      </c>
      <c r="H127" s="41"/>
      <c r="I127" s="149"/>
      <c r="J127" s="149"/>
    </row>
    <row r="128" spans="1:10" ht="12.75">
      <c r="A128" s="224">
        <v>214015</v>
      </c>
      <c r="B128" s="12" t="s">
        <v>589</v>
      </c>
      <c r="C128" s="348"/>
      <c r="D128" s="260"/>
      <c r="E128" s="267"/>
      <c r="F128" s="260"/>
      <c r="G128" s="267">
        <f t="shared" si="2"/>
      </c>
      <c r="H128" s="41"/>
      <c r="I128" s="149"/>
      <c r="J128" s="149"/>
    </row>
    <row r="129" spans="1:10" ht="12.75">
      <c r="A129" s="224">
        <v>214090</v>
      </c>
      <c r="B129" s="9" t="s">
        <v>552</v>
      </c>
      <c r="C129" s="348"/>
      <c r="D129" s="260"/>
      <c r="E129" s="267"/>
      <c r="F129" s="260"/>
      <c r="G129" s="267">
        <f t="shared" si="2"/>
      </c>
      <c r="H129" s="41"/>
      <c r="I129" s="149"/>
      <c r="J129" s="149"/>
    </row>
    <row r="130" spans="1:10" ht="12.75">
      <c r="A130" s="224">
        <v>214091</v>
      </c>
      <c r="B130" s="9" t="s">
        <v>553</v>
      </c>
      <c r="C130" s="348"/>
      <c r="D130" s="260"/>
      <c r="E130" s="267"/>
      <c r="F130" s="260"/>
      <c r="G130" s="267">
        <f t="shared" si="2"/>
      </c>
      <c r="H130" s="41"/>
      <c r="I130" s="149"/>
      <c r="J130" s="149"/>
    </row>
    <row r="131" spans="1:10" ht="12.75">
      <c r="A131" s="224">
        <v>214092</v>
      </c>
      <c r="B131" s="9" t="s">
        <v>590</v>
      </c>
      <c r="C131" s="348"/>
      <c r="D131" s="260"/>
      <c r="E131" s="267"/>
      <c r="F131" s="260"/>
      <c r="G131" s="267">
        <f t="shared" si="2"/>
      </c>
      <c r="H131" s="41"/>
      <c r="I131" s="149"/>
      <c r="J131" s="149"/>
    </row>
    <row r="132" spans="1:10" ht="12.75">
      <c r="A132" s="224">
        <v>214095</v>
      </c>
      <c r="B132" s="9" t="s">
        <v>554</v>
      </c>
      <c r="C132" s="354"/>
      <c r="D132" s="260"/>
      <c r="E132" s="275"/>
      <c r="F132" s="260"/>
      <c r="G132" s="275">
        <f t="shared" si="2"/>
      </c>
      <c r="H132" s="41"/>
      <c r="I132" s="149"/>
      <c r="J132" s="149"/>
    </row>
    <row r="133" spans="1:10" ht="12.75">
      <c r="A133" s="224">
        <v>218622</v>
      </c>
      <c r="B133" s="9" t="s">
        <v>593</v>
      </c>
      <c r="C133" s="348"/>
      <c r="D133" s="260"/>
      <c r="E133" s="267"/>
      <c r="F133" s="260"/>
      <c r="G133" s="267">
        <f t="shared" si="2"/>
      </c>
      <c r="H133" s="41"/>
      <c r="I133" s="149"/>
      <c r="J133" s="149"/>
    </row>
    <row r="134" spans="1:10" ht="12.75">
      <c r="A134" s="224">
        <v>219010</v>
      </c>
      <c r="B134" s="9" t="s">
        <v>556</v>
      </c>
      <c r="C134" s="348"/>
      <c r="D134" s="260"/>
      <c r="E134" s="267"/>
      <c r="F134" s="260"/>
      <c r="G134" s="267">
        <f t="shared" si="2"/>
      </c>
      <c r="H134" s="41"/>
      <c r="I134" s="149"/>
      <c r="J134" s="149"/>
    </row>
    <row r="135" spans="1:10" ht="12.75">
      <c r="A135" s="224">
        <v>219013</v>
      </c>
      <c r="B135" s="12" t="s">
        <v>557</v>
      </c>
      <c r="C135" s="348"/>
      <c r="D135" s="260"/>
      <c r="E135" s="267"/>
      <c r="F135" s="260"/>
      <c r="G135" s="267">
        <f t="shared" si="2"/>
      </c>
      <c r="H135" s="41"/>
      <c r="I135" s="149"/>
      <c r="J135" s="149"/>
    </row>
    <row r="136" spans="1:10" ht="12.75">
      <c r="A136" s="224">
        <v>219014</v>
      </c>
      <c r="B136" s="12" t="s">
        <v>609</v>
      </c>
      <c r="C136" s="348"/>
      <c r="D136" s="260"/>
      <c r="E136" s="267"/>
      <c r="F136" s="260"/>
      <c r="G136" s="267">
        <f t="shared" si="2"/>
      </c>
      <c r="H136" s="41"/>
      <c r="I136" s="149"/>
      <c r="J136" s="149"/>
    </row>
    <row r="137" spans="1:10" ht="12.75">
      <c r="A137" s="224">
        <v>219022</v>
      </c>
      <c r="B137" s="9" t="s">
        <v>558</v>
      </c>
      <c r="C137" s="348"/>
      <c r="D137" s="260"/>
      <c r="E137" s="267"/>
      <c r="F137" s="260"/>
      <c r="G137" s="267">
        <f t="shared" si="2"/>
      </c>
      <c r="H137" s="41"/>
      <c r="I137" s="149"/>
      <c r="J137" s="149"/>
    </row>
    <row r="138" spans="1:10" ht="12.75">
      <c r="A138" s="224">
        <v>219023</v>
      </c>
      <c r="B138" s="9" t="s">
        <v>559</v>
      </c>
      <c r="C138" s="348"/>
      <c r="D138" s="260"/>
      <c r="E138" s="267"/>
      <c r="F138" s="260"/>
      <c r="G138" s="267">
        <f t="shared" si="2"/>
      </c>
      <c r="H138" s="41"/>
      <c r="I138" s="149"/>
      <c r="J138" s="149"/>
    </row>
    <row r="139" spans="1:10" ht="12.75">
      <c r="A139" s="224">
        <v>219025</v>
      </c>
      <c r="B139" s="9" t="s">
        <v>560</v>
      </c>
      <c r="C139" s="348"/>
      <c r="D139" s="260"/>
      <c r="E139" s="267"/>
      <c r="F139" s="260"/>
      <c r="G139" s="267">
        <f t="shared" si="2"/>
      </c>
      <c r="H139" s="41"/>
      <c r="I139" s="149"/>
      <c r="J139" s="149"/>
    </row>
    <row r="140" spans="1:10" ht="12.75">
      <c r="A140" s="224">
        <v>219029</v>
      </c>
      <c r="B140" s="9" t="s">
        <v>561</v>
      </c>
      <c r="C140" s="348"/>
      <c r="D140" s="260"/>
      <c r="E140" s="267"/>
      <c r="F140" s="260"/>
      <c r="G140" s="267">
        <f t="shared" si="2"/>
      </c>
      <c r="H140" s="41"/>
      <c r="I140" s="149"/>
      <c r="J140" s="149"/>
    </row>
    <row r="141" spans="1:10" ht="12.75">
      <c r="A141" s="224">
        <v>219030</v>
      </c>
      <c r="B141" s="9" t="s">
        <v>594</v>
      </c>
      <c r="C141" s="348"/>
      <c r="D141" s="260"/>
      <c r="E141" s="267"/>
      <c r="F141" s="260"/>
      <c r="G141" s="267">
        <f t="shared" si="2"/>
      </c>
      <c r="H141" s="41"/>
      <c r="I141" s="149"/>
      <c r="J141" s="149"/>
    </row>
    <row r="142" spans="1:10" ht="12.75">
      <c r="A142" s="224">
        <v>219040</v>
      </c>
      <c r="B142" s="9" t="s">
        <v>769</v>
      </c>
      <c r="C142" s="348"/>
      <c r="D142" s="260"/>
      <c r="E142" s="267"/>
      <c r="F142" s="260"/>
      <c r="G142" s="267">
        <f t="shared" si="2"/>
      </c>
      <c r="H142" s="41"/>
      <c r="I142" s="149"/>
      <c r="J142" s="149"/>
    </row>
    <row r="143" spans="1:10" ht="12.75">
      <c r="A143" s="224">
        <v>219042</v>
      </c>
      <c r="B143" s="9" t="s">
        <v>596</v>
      </c>
      <c r="C143" s="348"/>
      <c r="D143" s="260"/>
      <c r="E143" s="267"/>
      <c r="F143" s="260"/>
      <c r="G143" s="267">
        <f t="shared" si="2"/>
      </c>
      <c r="H143" s="41"/>
      <c r="I143" s="149"/>
      <c r="J143" s="149"/>
    </row>
    <row r="144" spans="1:10" ht="12.75">
      <c r="A144" s="224">
        <v>219044</v>
      </c>
      <c r="B144" s="9" t="s">
        <v>597</v>
      </c>
      <c r="C144" s="348"/>
      <c r="D144" s="260"/>
      <c r="E144" s="267"/>
      <c r="F144" s="260"/>
      <c r="G144" s="267">
        <f t="shared" si="2"/>
      </c>
      <c r="H144" s="41"/>
      <c r="I144" s="149"/>
      <c r="J144" s="149"/>
    </row>
    <row r="145" spans="1:10" ht="12.75">
      <c r="A145" s="224">
        <v>219060</v>
      </c>
      <c r="B145" s="9" t="s">
        <v>562</v>
      </c>
      <c r="C145" s="348"/>
      <c r="D145" s="260"/>
      <c r="E145" s="267"/>
      <c r="F145" s="260"/>
      <c r="G145" s="267">
        <f t="shared" si="2"/>
      </c>
      <c r="H145" s="41"/>
      <c r="I145" s="149"/>
      <c r="J145" s="149"/>
    </row>
    <row r="146" spans="1:10" ht="12.75">
      <c r="A146" s="224">
        <v>219061</v>
      </c>
      <c r="B146" s="9" t="s">
        <v>563</v>
      </c>
      <c r="C146" s="348"/>
      <c r="D146" s="260"/>
      <c r="E146" s="267"/>
      <c r="F146" s="260"/>
      <c r="G146" s="267">
        <f t="shared" si="2"/>
      </c>
      <c r="H146" s="41"/>
      <c r="I146" s="149"/>
      <c r="J146" s="149"/>
    </row>
    <row r="147" spans="1:10" ht="12.75">
      <c r="A147" s="224">
        <v>219063</v>
      </c>
      <c r="B147" s="9" t="s">
        <v>610</v>
      </c>
      <c r="C147" s="348"/>
      <c r="D147" s="260"/>
      <c r="E147" s="267"/>
      <c r="F147" s="260"/>
      <c r="G147" s="267">
        <f t="shared" si="2"/>
      </c>
      <c r="H147" s="41"/>
      <c r="I147" s="149"/>
      <c r="J147" s="149"/>
    </row>
    <row r="148" spans="1:10" ht="12.75">
      <c r="A148" s="224">
        <v>219069</v>
      </c>
      <c r="B148" s="9" t="s">
        <v>564</v>
      </c>
      <c r="C148" s="348"/>
      <c r="D148" s="260"/>
      <c r="E148" s="267"/>
      <c r="F148" s="260"/>
      <c r="G148" s="267">
        <f t="shared" si="2"/>
      </c>
      <c r="H148" s="41"/>
      <c r="I148" s="149"/>
      <c r="J148" s="149"/>
    </row>
    <row r="149" spans="1:10" ht="12.75">
      <c r="A149" s="224">
        <v>219077</v>
      </c>
      <c r="B149" s="9" t="s">
        <v>598</v>
      </c>
      <c r="C149" s="348"/>
      <c r="D149" s="260"/>
      <c r="E149" s="267"/>
      <c r="F149" s="260"/>
      <c r="G149" s="267">
        <f t="shared" si="2"/>
      </c>
      <c r="H149" s="41"/>
      <c r="I149" s="149"/>
      <c r="J149" s="149"/>
    </row>
    <row r="150" spans="1:10" ht="12.75">
      <c r="A150" s="224">
        <v>219078</v>
      </c>
      <c r="B150" s="9" t="s">
        <v>568</v>
      </c>
      <c r="C150" s="348"/>
      <c r="D150" s="260"/>
      <c r="E150" s="267"/>
      <c r="F150" s="260"/>
      <c r="G150" s="267">
        <f t="shared" si="2"/>
      </c>
      <c r="H150" s="41"/>
      <c r="I150" s="149"/>
      <c r="J150" s="149"/>
    </row>
    <row r="151" spans="1:10" ht="13.5" thickBot="1">
      <c r="A151" s="231" t="s">
        <v>401</v>
      </c>
      <c r="B151" s="6"/>
      <c r="C151" s="358">
        <f>SUM(C103:C150)</f>
        <v>0</v>
      </c>
      <c r="D151" s="260"/>
      <c r="E151" s="358">
        <v>0</v>
      </c>
      <c r="F151" s="260"/>
      <c r="G151" s="273">
        <f>SUM(G103:G150)</f>
        <v>0</v>
      </c>
      <c r="H151" s="41"/>
      <c r="I151" s="149"/>
      <c r="J151" s="149"/>
    </row>
    <row r="152" spans="1:10" ht="13.5" thickTop="1">
      <c r="A152" s="226"/>
      <c r="B152" s="6"/>
      <c r="C152" s="355"/>
      <c r="E152" s="276"/>
      <c r="G152" s="276"/>
      <c r="H152" s="41"/>
      <c r="I152" s="149"/>
      <c r="J152" s="149"/>
    </row>
    <row r="153" spans="1:10" ht="15">
      <c r="A153" s="228" t="s">
        <v>519</v>
      </c>
      <c r="B153" s="2"/>
      <c r="C153" s="351"/>
      <c r="D153" s="261"/>
      <c r="E153" s="285"/>
      <c r="F153" s="261"/>
      <c r="G153" s="271"/>
      <c r="H153" s="171"/>
      <c r="I153" s="149"/>
      <c r="J153" s="149"/>
    </row>
    <row r="154" spans="1:10" ht="12.75">
      <c r="A154" s="224">
        <v>311116</v>
      </c>
      <c r="B154" s="9" t="s">
        <v>200</v>
      </c>
      <c r="C154" s="347"/>
      <c r="D154" s="260"/>
      <c r="E154" s="266"/>
      <c r="F154" s="260"/>
      <c r="G154" s="266">
        <f aca="true" t="shared" si="3" ref="G154:G218">IF(E154&lt;&gt;C154,C154-E154,"")</f>
      </c>
      <c r="H154" s="41"/>
      <c r="I154" s="149"/>
      <c r="J154" s="149"/>
    </row>
    <row r="155" spans="1:10" ht="12.75">
      <c r="A155" s="224">
        <v>311120</v>
      </c>
      <c r="B155" s="9" t="s">
        <v>571</v>
      </c>
      <c r="C155" s="348"/>
      <c r="D155" s="260"/>
      <c r="E155" s="267"/>
      <c r="F155" s="260"/>
      <c r="G155" s="267">
        <f t="shared" si="3"/>
      </c>
      <c r="H155" s="41"/>
      <c r="I155" s="149"/>
      <c r="J155" s="149"/>
    </row>
    <row r="156" spans="1:10" ht="12.75">
      <c r="A156" s="224">
        <v>311122</v>
      </c>
      <c r="B156" s="12" t="s">
        <v>611</v>
      </c>
      <c r="C156" s="348"/>
      <c r="D156" s="260"/>
      <c r="E156" s="267"/>
      <c r="F156" s="260"/>
      <c r="G156" s="267">
        <f t="shared" si="3"/>
      </c>
      <c r="H156" s="41"/>
      <c r="I156" s="149"/>
      <c r="J156" s="149"/>
    </row>
    <row r="157" spans="1:10" ht="12.75">
      <c r="A157" s="224">
        <v>311123</v>
      </c>
      <c r="B157" s="9" t="s">
        <v>612</v>
      </c>
      <c r="C157" s="348"/>
      <c r="D157" s="260"/>
      <c r="E157" s="267"/>
      <c r="F157" s="260"/>
      <c r="G157" s="267">
        <f t="shared" si="3"/>
      </c>
      <c r="H157" s="41"/>
      <c r="I157" s="149"/>
      <c r="J157" s="149"/>
    </row>
    <row r="158" spans="1:10" ht="12.75">
      <c r="A158" s="224">
        <v>311124</v>
      </c>
      <c r="B158" s="12" t="s">
        <v>613</v>
      </c>
      <c r="C158" s="348"/>
      <c r="D158" s="260"/>
      <c r="E158" s="267"/>
      <c r="F158" s="260"/>
      <c r="G158" s="267">
        <f t="shared" si="3"/>
      </c>
      <c r="H158" s="41"/>
      <c r="I158" s="149"/>
      <c r="J158" s="149"/>
    </row>
    <row r="159" spans="1:10" ht="12.75">
      <c r="A159" s="224">
        <v>311125</v>
      </c>
      <c r="B159" s="9" t="s">
        <v>614</v>
      </c>
      <c r="C159" s="348"/>
      <c r="D159" s="260"/>
      <c r="E159" s="267"/>
      <c r="F159" s="260"/>
      <c r="G159" s="267">
        <f t="shared" si="3"/>
      </c>
      <c r="H159" s="41"/>
      <c r="I159" s="149"/>
      <c r="J159" s="149"/>
    </row>
    <row r="160" spans="1:10" ht="12.75">
      <c r="A160" s="224">
        <v>311126</v>
      </c>
      <c r="B160" s="9" t="s">
        <v>572</v>
      </c>
      <c r="C160" s="348"/>
      <c r="D160" s="260"/>
      <c r="E160" s="267"/>
      <c r="F160" s="260"/>
      <c r="G160" s="267">
        <f t="shared" si="3"/>
      </c>
      <c r="H160" s="41"/>
      <c r="I160" s="149"/>
      <c r="J160" s="149"/>
    </row>
    <row r="161" spans="1:10" ht="12.75">
      <c r="A161" s="224">
        <v>311127</v>
      </c>
      <c r="B161" s="9" t="s">
        <v>573</v>
      </c>
      <c r="C161" s="348"/>
      <c r="D161" s="260"/>
      <c r="E161" s="267"/>
      <c r="F161" s="260"/>
      <c r="G161" s="267">
        <f t="shared" si="3"/>
      </c>
      <c r="H161" s="41"/>
      <c r="I161" s="149"/>
      <c r="J161" s="149"/>
    </row>
    <row r="162" spans="1:10" ht="12.75">
      <c r="A162" s="224">
        <v>311130</v>
      </c>
      <c r="B162" s="12" t="s">
        <v>429</v>
      </c>
      <c r="C162" s="348"/>
      <c r="D162" s="260"/>
      <c r="E162" s="267"/>
      <c r="F162" s="260"/>
      <c r="G162" s="267">
        <f t="shared" si="3"/>
      </c>
      <c r="H162" s="41"/>
      <c r="I162" s="149"/>
      <c r="J162" s="149"/>
    </row>
    <row r="163" spans="1:10" ht="12.75">
      <c r="A163" s="224">
        <v>311131</v>
      </c>
      <c r="B163" s="9" t="s">
        <v>432</v>
      </c>
      <c r="C163" s="348"/>
      <c r="D163" s="260"/>
      <c r="E163" s="267"/>
      <c r="F163" s="260"/>
      <c r="G163" s="267">
        <f t="shared" si="3"/>
      </c>
      <c r="H163" s="41"/>
      <c r="I163" s="149"/>
      <c r="J163" s="149"/>
    </row>
    <row r="164" spans="1:10" ht="12.75">
      <c r="A164" s="224">
        <v>311142</v>
      </c>
      <c r="B164" s="12" t="s">
        <v>615</v>
      </c>
      <c r="C164" s="348"/>
      <c r="D164" s="260"/>
      <c r="E164" s="267"/>
      <c r="F164" s="260"/>
      <c r="G164" s="267">
        <f t="shared" si="3"/>
      </c>
      <c r="H164" s="41"/>
      <c r="I164" s="149"/>
      <c r="J164" s="149"/>
    </row>
    <row r="165" spans="1:10" ht="12.75">
      <c r="A165" s="224">
        <v>311143</v>
      </c>
      <c r="B165" s="9" t="s">
        <v>616</v>
      </c>
      <c r="C165" s="348"/>
      <c r="D165" s="260"/>
      <c r="E165" s="267"/>
      <c r="F165" s="260"/>
      <c r="G165" s="267">
        <f t="shared" si="3"/>
      </c>
      <c r="H165" s="41"/>
      <c r="I165" s="149"/>
      <c r="J165" s="149"/>
    </row>
    <row r="166" spans="1:10" ht="12.75">
      <c r="A166" s="224">
        <v>311150</v>
      </c>
      <c r="B166" s="9" t="s">
        <v>617</v>
      </c>
      <c r="C166" s="348"/>
      <c r="D166" s="260"/>
      <c r="E166" s="267"/>
      <c r="F166" s="260"/>
      <c r="G166" s="267">
        <f t="shared" si="3"/>
      </c>
      <c r="H166" s="41"/>
      <c r="I166" s="149"/>
      <c r="J166" s="149"/>
    </row>
    <row r="167" spans="1:10" ht="12.75">
      <c r="A167" s="224">
        <v>311151</v>
      </c>
      <c r="B167" s="9" t="s">
        <v>629</v>
      </c>
      <c r="C167" s="348"/>
      <c r="D167" s="260"/>
      <c r="E167" s="267"/>
      <c r="F167" s="260"/>
      <c r="G167" s="267">
        <f t="shared" si="3"/>
      </c>
      <c r="H167" s="41"/>
      <c r="I167" s="149"/>
      <c r="J167" s="149"/>
    </row>
    <row r="168" spans="1:10" ht="12.75">
      <c r="A168" s="224">
        <v>311152</v>
      </c>
      <c r="B168" s="9" t="s">
        <v>630</v>
      </c>
      <c r="C168" s="348"/>
      <c r="D168" s="260"/>
      <c r="E168" s="267"/>
      <c r="F168" s="260"/>
      <c r="G168" s="267">
        <f t="shared" si="3"/>
      </c>
      <c r="H168" s="41"/>
      <c r="I168" s="149"/>
      <c r="J168" s="149"/>
    </row>
    <row r="169" spans="1:10" ht="12.75">
      <c r="A169" s="224">
        <v>311153</v>
      </c>
      <c r="B169" s="9" t="s">
        <v>631</v>
      </c>
      <c r="C169" s="348"/>
      <c r="D169" s="260"/>
      <c r="E169" s="267"/>
      <c r="F169" s="260"/>
      <c r="G169" s="267">
        <f t="shared" si="3"/>
      </c>
      <c r="H169" s="41"/>
      <c r="I169" s="149"/>
      <c r="J169" s="149"/>
    </row>
    <row r="170" spans="1:10" ht="12.75">
      <c r="A170" s="224">
        <v>311170</v>
      </c>
      <c r="B170" s="12" t="s">
        <v>632</v>
      </c>
      <c r="C170" s="348"/>
      <c r="D170" s="260"/>
      <c r="E170" s="267"/>
      <c r="F170" s="260"/>
      <c r="G170" s="267">
        <f t="shared" si="3"/>
      </c>
      <c r="H170" s="41"/>
      <c r="I170" s="149"/>
      <c r="J170" s="149"/>
    </row>
    <row r="171" spans="1:10" ht="12.75">
      <c r="A171" s="224">
        <v>311171</v>
      </c>
      <c r="B171" s="9" t="s">
        <v>633</v>
      </c>
      <c r="C171" s="348"/>
      <c r="D171" s="260"/>
      <c r="E171" s="267"/>
      <c r="F171" s="260"/>
      <c r="G171" s="267">
        <f t="shared" si="3"/>
      </c>
      <c r="H171" s="41"/>
      <c r="I171" s="149"/>
      <c r="J171" s="149"/>
    </row>
    <row r="172" spans="1:10" ht="12.75">
      <c r="A172" s="224">
        <v>311180</v>
      </c>
      <c r="B172" s="12" t="s">
        <v>634</v>
      </c>
      <c r="C172" s="348"/>
      <c r="D172" s="260"/>
      <c r="E172" s="267"/>
      <c r="F172" s="260"/>
      <c r="G172" s="267">
        <f t="shared" si="3"/>
      </c>
      <c r="H172" s="41"/>
      <c r="I172" s="149"/>
      <c r="J172" s="149"/>
    </row>
    <row r="173" spans="1:10" ht="12.75">
      <c r="A173" s="224">
        <v>311181</v>
      </c>
      <c r="B173" s="9" t="s">
        <v>635</v>
      </c>
      <c r="C173" s="348"/>
      <c r="D173" s="260"/>
      <c r="E173" s="267"/>
      <c r="F173" s="260"/>
      <c r="G173" s="267">
        <f t="shared" si="3"/>
      </c>
      <c r="H173" s="41"/>
      <c r="I173" s="149"/>
      <c r="J173" s="149"/>
    </row>
    <row r="174" spans="1:10" ht="12.75">
      <c r="A174" s="224">
        <v>311190</v>
      </c>
      <c r="B174" s="9" t="s">
        <v>636</v>
      </c>
      <c r="C174" s="348"/>
      <c r="D174" s="260"/>
      <c r="E174" s="267"/>
      <c r="F174" s="260"/>
      <c r="G174" s="267">
        <f t="shared" si="3"/>
      </c>
      <c r="H174" s="41"/>
      <c r="I174" s="149"/>
      <c r="J174" s="149"/>
    </row>
    <row r="175" spans="1:10" ht="12.75">
      <c r="A175" s="224">
        <v>311191</v>
      </c>
      <c r="B175" s="9" t="s">
        <v>637</v>
      </c>
      <c r="C175" s="348"/>
      <c r="D175" s="260"/>
      <c r="E175" s="267"/>
      <c r="F175" s="260"/>
      <c r="G175" s="267">
        <f t="shared" si="3"/>
      </c>
      <c r="H175" s="41"/>
      <c r="I175" s="149"/>
      <c r="J175" s="149"/>
    </row>
    <row r="176" spans="1:10" ht="12.75">
      <c r="A176" s="224">
        <v>313720</v>
      </c>
      <c r="B176" s="9" t="s">
        <v>383</v>
      </c>
      <c r="C176" s="348"/>
      <c r="D176" s="260"/>
      <c r="E176" s="267"/>
      <c r="F176" s="260"/>
      <c r="G176" s="267">
        <f t="shared" si="3"/>
      </c>
      <c r="H176" s="41"/>
      <c r="I176" s="149"/>
      <c r="J176" s="149"/>
    </row>
    <row r="177" spans="1:10" ht="12.75">
      <c r="A177" s="224">
        <v>313721</v>
      </c>
      <c r="B177" s="9" t="s">
        <v>384</v>
      </c>
      <c r="C177" s="348"/>
      <c r="D177" s="260"/>
      <c r="E177" s="267"/>
      <c r="F177" s="260"/>
      <c r="G177" s="267">
        <f t="shared" si="3"/>
      </c>
      <c r="H177" s="41"/>
      <c r="I177" s="149"/>
      <c r="J177" s="149"/>
    </row>
    <row r="178" spans="1:10" ht="12.75">
      <c r="A178" s="224">
        <v>314010</v>
      </c>
      <c r="B178" s="12" t="s">
        <v>550</v>
      </c>
      <c r="C178" s="348"/>
      <c r="D178" s="260"/>
      <c r="E178" s="267"/>
      <c r="F178" s="260"/>
      <c r="G178" s="267">
        <f t="shared" si="3"/>
      </c>
      <c r="H178" s="41"/>
      <c r="I178" s="149"/>
      <c r="J178" s="149"/>
    </row>
    <row r="179" spans="1:10" ht="12.75">
      <c r="A179" s="224">
        <v>314012</v>
      </c>
      <c r="B179" s="9" t="s">
        <v>638</v>
      </c>
      <c r="C179" s="348"/>
      <c r="D179" s="260"/>
      <c r="E179" s="267"/>
      <c r="F179" s="260"/>
      <c r="G179" s="267">
        <f t="shared" si="3"/>
      </c>
      <c r="H179" s="41"/>
      <c r="I179" s="149"/>
      <c r="J179" s="149"/>
    </row>
    <row r="180" spans="1:10" ht="12.75">
      <c r="A180" s="224">
        <v>314013</v>
      </c>
      <c r="B180" s="12" t="s">
        <v>639</v>
      </c>
      <c r="C180" s="348"/>
      <c r="D180" s="260"/>
      <c r="E180" s="267"/>
      <c r="F180" s="260"/>
      <c r="G180" s="267">
        <f t="shared" si="3"/>
      </c>
      <c r="H180" s="41"/>
      <c r="I180" s="149"/>
      <c r="J180" s="149"/>
    </row>
    <row r="181" spans="1:10" ht="12.75">
      <c r="A181" s="224">
        <v>314014</v>
      </c>
      <c r="B181" s="9" t="s">
        <v>588</v>
      </c>
      <c r="C181" s="348"/>
      <c r="D181" s="260"/>
      <c r="E181" s="267"/>
      <c r="F181" s="260"/>
      <c r="G181" s="267">
        <f t="shared" si="3"/>
      </c>
      <c r="H181" s="41"/>
      <c r="I181" s="149"/>
      <c r="J181" s="149"/>
    </row>
    <row r="182" spans="1:10" ht="12.75">
      <c r="A182" s="224">
        <v>314015</v>
      </c>
      <c r="B182" s="9" t="s">
        <v>589</v>
      </c>
      <c r="C182" s="348"/>
      <c r="D182" s="260"/>
      <c r="E182" s="267"/>
      <c r="F182" s="260"/>
      <c r="G182" s="267">
        <f t="shared" si="3"/>
      </c>
      <c r="H182" s="41"/>
      <c r="I182" s="149"/>
      <c r="J182" s="149"/>
    </row>
    <row r="183" spans="1:10" ht="12.75">
      <c r="A183" s="224">
        <v>314020</v>
      </c>
      <c r="B183" s="9" t="s">
        <v>640</v>
      </c>
      <c r="C183" s="348"/>
      <c r="D183" s="260"/>
      <c r="E183" s="267"/>
      <c r="F183" s="260"/>
      <c r="G183" s="267">
        <f t="shared" si="3"/>
      </c>
      <c r="H183" s="41"/>
      <c r="I183" s="149"/>
      <c r="J183" s="149"/>
    </row>
    <row r="184" spans="1:10" ht="12.75">
      <c r="A184" s="224">
        <v>314022</v>
      </c>
      <c r="B184" s="9" t="s">
        <v>641</v>
      </c>
      <c r="C184" s="348"/>
      <c r="D184" s="260"/>
      <c r="E184" s="267"/>
      <c r="F184" s="260"/>
      <c r="G184" s="267">
        <f t="shared" si="3"/>
      </c>
      <c r="H184" s="41"/>
      <c r="I184" s="149"/>
      <c r="J184" s="149"/>
    </row>
    <row r="185" spans="1:10" ht="12.75">
      <c r="A185" s="224">
        <v>314023</v>
      </c>
      <c r="B185" s="9" t="s">
        <v>642</v>
      </c>
      <c r="C185" s="348"/>
      <c r="D185" s="260"/>
      <c r="E185" s="267"/>
      <c r="F185" s="260"/>
      <c r="G185" s="267">
        <f t="shared" si="3"/>
      </c>
      <c r="H185" s="41"/>
      <c r="I185" s="149"/>
      <c r="J185" s="149"/>
    </row>
    <row r="186" spans="1:10" ht="12.75">
      <c r="A186" s="224">
        <v>314030</v>
      </c>
      <c r="B186" s="9" t="s">
        <v>643</v>
      </c>
      <c r="C186" s="348"/>
      <c r="D186" s="260"/>
      <c r="E186" s="267"/>
      <c r="F186" s="260"/>
      <c r="G186" s="267">
        <f t="shared" si="3"/>
      </c>
      <c r="H186" s="41"/>
      <c r="I186" s="149"/>
      <c r="J186" s="149"/>
    </row>
    <row r="187" spans="1:10" ht="12.75">
      <c r="A187" s="224">
        <v>314031</v>
      </c>
      <c r="B187" s="9" t="s">
        <v>644</v>
      </c>
      <c r="C187" s="348"/>
      <c r="D187" s="260"/>
      <c r="E187" s="267"/>
      <c r="F187" s="260"/>
      <c r="G187" s="267">
        <f t="shared" si="3"/>
      </c>
      <c r="H187" s="41"/>
      <c r="I187" s="149"/>
      <c r="J187" s="149"/>
    </row>
    <row r="188" spans="1:10" ht="12.75">
      <c r="A188" s="224">
        <v>314040</v>
      </c>
      <c r="B188" s="12" t="s">
        <v>645</v>
      </c>
      <c r="C188" s="348"/>
      <c r="D188" s="260"/>
      <c r="E188" s="267"/>
      <c r="F188" s="260"/>
      <c r="G188" s="267">
        <f t="shared" si="3"/>
      </c>
      <c r="H188" s="41"/>
      <c r="I188" s="149"/>
      <c r="J188" s="149"/>
    </row>
    <row r="189" spans="1:10" ht="12.75">
      <c r="A189" s="224">
        <v>314041</v>
      </c>
      <c r="B189" s="9" t="s">
        <v>646</v>
      </c>
      <c r="C189" s="348"/>
      <c r="D189" s="260"/>
      <c r="E189" s="267"/>
      <c r="F189" s="260"/>
      <c r="G189" s="267">
        <f t="shared" si="3"/>
      </c>
      <c r="H189" s="41"/>
      <c r="I189" s="149"/>
      <c r="J189" s="149"/>
    </row>
    <row r="190" spans="1:10" ht="12.75">
      <c r="A190" s="224">
        <v>314050</v>
      </c>
      <c r="B190" s="9" t="s">
        <v>139</v>
      </c>
      <c r="C190" s="348"/>
      <c r="D190" s="260"/>
      <c r="E190" s="267"/>
      <c r="F190" s="260"/>
      <c r="G190" s="267">
        <f t="shared" si="3"/>
      </c>
      <c r="H190" s="41"/>
      <c r="I190" s="149"/>
      <c r="J190" s="149"/>
    </row>
    <row r="191" spans="1:10" ht="12.75">
      <c r="A191" s="224">
        <v>314052</v>
      </c>
      <c r="B191" s="9" t="s">
        <v>140</v>
      </c>
      <c r="C191" s="348"/>
      <c r="D191" s="260"/>
      <c r="E191" s="267"/>
      <c r="F191" s="260"/>
      <c r="G191" s="267">
        <f t="shared" si="3"/>
      </c>
      <c r="H191" s="41"/>
      <c r="I191" s="149"/>
      <c r="J191" s="149"/>
    </row>
    <row r="192" spans="1:10" ht="12.75">
      <c r="A192" s="224">
        <v>314090</v>
      </c>
      <c r="B192" s="12" t="s">
        <v>552</v>
      </c>
      <c r="C192" s="348"/>
      <c r="D192" s="260"/>
      <c r="E192" s="267"/>
      <c r="F192" s="260"/>
      <c r="G192" s="267">
        <f t="shared" si="3"/>
      </c>
      <c r="H192" s="41"/>
      <c r="I192" s="149"/>
      <c r="J192" s="149"/>
    </row>
    <row r="193" spans="1:10" ht="12.75">
      <c r="A193" s="224">
        <v>314091</v>
      </c>
      <c r="B193" s="9" t="s">
        <v>553</v>
      </c>
      <c r="C193" s="348"/>
      <c r="D193" s="260"/>
      <c r="E193" s="267"/>
      <c r="F193" s="260"/>
      <c r="G193" s="267">
        <f t="shared" si="3"/>
      </c>
      <c r="H193" s="41"/>
      <c r="I193" s="149"/>
      <c r="J193" s="149"/>
    </row>
    <row r="194" spans="1:10" ht="12.75">
      <c r="A194" s="224">
        <v>314092</v>
      </c>
      <c r="B194" s="12" t="s">
        <v>590</v>
      </c>
      <c r="C194" s="348"/>
      <c r="D194" s="260"/>
      <c r="E194" s="267"/>
      <c r="F194" s="260"/>
      <c r="G194" s="267">
        <f t="shared" si="3"/>
      </c>
      <c r="H194" s="41"/>
      <c r="I194" s="149"/>
      <c r="J194" s="149"/>
    </row>
    <row r="195" spans="1:10" ht="12.75">
      <c r="A195" s="224">
        <v>314095</v>
      </c>
      <c r="B195" s="9" t="s">
        <v>554</v>
      </c>
      <c r="C195" s="354"/>
      <c r="D195" s="260"/>
      <c r="E195" s="275"/>
      <c r="F195" s="260"/>
      <c r="G195" s="275">
        <f t="shared" si="3"/>
      </c>
      <c r="H195" s="41"/>
      <c r="I195" s="149"/>
      <c r="J195" s="149"/>
    </row>
    <row r="196" spans="1:10" ht="12.75">
      <c r="A196" s="224">
        <v>316122</v>
      </c>
      <c r="B196" s="9" t="s">
        <v>1</v>
      </c>
      <c r="C196" s="348"/>
      <c r="D196" s="260"/>
      <c r="E196" s="267"/>
      <c r="F196" s="260"/>
      <c r="G196" s="267">
        <f t="shared" si="3"/>
      </c>
      <c r="H196" s="41"/>
      <c r="I196" s="149"/>
      <c r="J196" s="149"/>
    </row>
    <row r="197" spans="1:10" ht="12.75">
      <c r="A197" s="224">
        <v>316130</v>
      </c>
      <c r="B197" s="9" t="s">
        <v>2</v>
      </c>
      <c r="C197" s="348"/>
      <c r="D197" s="260"/>
      <c r="E197" s="267"/>
      <c r="F197" s="260"/>
      <c r="G197" s="267">
        <f t="shared" si="3"/>
      </c>
      <c r="H197" s="41"/>
      <c r="I197" s="149"/>
      <c r="J197" s="149"/>
    </row>
    <row r="198" spans="1:10" ht="12.75">
      <c r="A198" s="224">
        <v>316131</v>
      </c>
      <c r="B198" s="9" t="s">
        <v>3</v>
      </c>
      <c r="C198" s="348"/>
      <c r="D198" s="260"/>
      <c r="E198" s="267"/>
      <c r="F198" s="260"/>
      <c r="G198" s="267">
        <f t="shared" si="3"/>
      </c>
      <c r="H198" s="41"/>
      <c r="I198" s="149"/>
      <c r="J198" s="149"/>
    </row>
    <row r="199" spans="1:10" ht="12.75">
      <c r="A199" s="224">
        <v>316132</v>
      </c>
      <c r="B199" s="9" t="s">
        <v>4</v>
      </c>
      <c r="C199" s="348"/>
      <c r="D199" s="260"/>
      <c r="E199" s="267"/>
      <c r="F199" s="260"/>
      <c r="G199" s="267">
        <f t="shared" si="3"/>
      </c>
      <c r="H199" s="41"/>
      <c r="I199" s="149"/>
      <c r="J199" s="149"/>
    </row>
    <row r="200" spans="1:10" ht="12.75">
      <c r="A200" s="224">
        <v>316133</v>
      </c>
      <c r="B200" s="9" t="s">
        <v>5</v>
      </c>
      <c r="C200" s="348"/>
      <c r="D200" s="260"/>
      <c r="E200" s="267"/>
      <c r="F200" s="260"/>
      <c r="G200" s="267">
        <f t="shared" si="3"/>
      </c>
      <c r="H200" s="41"/>
      <c r="I200" s="149"/>
      <c r="J200" s="149"/>
    </row>
    <row r="201" spans="1:10" ht="12.75">
      <c r="A201" s="224">
        <v>316134</v>
      </c>
      <c r="B201" s="9" t="s">
        <v>6</v>
      </c>
      <c r="C201" s="348"/>
      <c r="D201" s="260"/>
      <c r="E201" s="267"/>
      <c r="F201" s="260"/>
      <c r="G201" s="267">
        <f t="shared" si="3"/>
      </c>
      <c r="H201" s="41"/>
      <c r="I201" s="149"/>
      <c r="J201" s="149"/>
    </row>
    <row r="202" spans="1:10" ht="12.75">
      <c r="A202" s="224">
        <v>316135</v>
      </c>
      <c r="B202" s="9" t="s">
        <v>738</v>
      </c>
      <c r="C202" s="348"/>
      <c r="D202" s="260"/>
      <c r="E202" s="267"/>
      <c r="F202" s="260"/>
      <c r="G202" s="267">
        <f>IF(E202&lt;&gt;C202,C202-E202,"")</f>
      </c>
      <c r="H202" s="41"/>
      <c r="I202" s="149"/>
      <c r="J202" s="149"/>
    </row>
    <row r="203" spans="1:10" ht="12.75">
      <c r="A203" s="224">
        <v>316138</v>
      </c>
      <c r="B203" s="9" t="s">
        <v>7</v>
      </c>
      <c r="C203" s="348"/>
      <c r="D203" s="260"/>
      <c r="E203" s="267"/>
      <c r="F203" s="260"/>
      <c r="G203" s="267">
        <f t="shared" si="3"/>
      </c>
      <c r="H203" s="41"/>
      <c r="I203" s="149"/>
      <c r="J203" s="149"/>
    </row>
    <row r="204" spans="1:10" ht="12.75">
      <c r="A204" s="224">
        <v>316140</v>
      </c>
      <c r="B204" s="9" t="s">
        <v>8</v>
      </c>
      <c r="C204" s="348"/>
      <c r="D204" s="260"/>
      <c r="E204" s="267"/>
      <c r="F204" s="260"/>
      <c r="G204" s="267">
        <f t="shared" si="3"/>
      </c>
      <c r="H204" s="41"/>
      <c r="I204" s="149"/>
      <c r="J204" s="149"/>
    </row>
    <row r="205" spans="1:10" ht="12.75">
      <c r="A205" s="224">
        <v>316141</v>
      </c>
      <c r="B205" s="9" t="s">
        <v>9</v>
      </c>
      <c r="C205" s="348"/>
      <c r="D205" s="260"/>
      <c r="E205" s="267"/>
      <c r="F205" s="260"/>
      <c r="G205" s="267">
        <f t="shared" si="3"/>
      </c>
      <c r="H205" s="41"/>
      <c r="I205" s="149"/>
      <c r="J205" s="149"/>
    </row>
    <row r="206" spans="1:10" ht="12.75">
      <c r="A206" s="224">
        <v>316142</v>
      </c>
      <c r="B206" s="9" t="s">
        <v>10</v>
      </c>
      <c r="C206" s="348"/>
      <c r="D206" s="260"/>
      <c r="E206" s="267"/>
      <c r="F206" s="260"/>
      <c r="G206" s="267">
        <f t="shared" si="3"/>
      </c>
      <c r="H206" s="41"/>
      <c r="I206" s="149"/>
      <c r="J206" s="149"/>
    </row>
    <row r="207" spans="1:10" ht="12.75">
      <c r="A207" s="224">
        <v>319010</v>
      </c>
      <c r="B207" s="9" t="s">
        <v>556</v>
      </c>
      <c r="C207" s="348"/>
      <c r="D207" s="260"/>
      <c r="E207" s="267"/>
      <c r="F207" s="260"/>
      <c r="G207" s="267">
        <f t="shared" si="3"/>
      </c>
      <c r="H207" s="41"/>
      <c r="I207" s="149"/>
      <c r="J207" s="149"/>
    </row>
    <row r="208" spans="1:10" ht="12.75">
      <c r="A208" s="224">
        <v>319011</v>
      </c>
      <c r="B208" s="9" t="s">
        <v>11</v>
      </c>
      <c r="C208" s="348"/>
      <c r="D208" s="260"/>
      <c r="E208" s="267"/>
      <c r="F208" s="260"/>
      <c r="G208" s="267">
        <f t="shared" si="3"/>
      </c>
      <c r="H208" s="41"/>
      <c r="I208" s="149"/>
      <c r="J208" s="149"/>
    </row>
    <row r="209" spans="1:10" ht="12.75">
      <c r="A209" s="224">
        <v>319013</v>
      </c>
      <c r="B209" s="9" t="s">
        <v>647</v>
      </c>
      <c r="C209" s="348"/>
      <c r="D209" s="260"/>
      <c r="E209" s="267"/>
      <c r="F209" s="260"/>
      <c r="G209" s="267">
        <f t="shared" si="3"/>
      </c>
      <c r="H209" s="41"/>
      <c r="I209" s="149"/>
      <c r="J209" s="149"/>
    </row>
    <row r="210" spans="1:10" ht="12.75">
      <c r="A210" s="224">
        <v>319019</v>
      </c>
      <c r="B210" s="9" t="s">
        <v>12</v>
      </c>
      <c r="C210" s="348"/>
      <c r="D210" s="260"/>
      <c r="E210" s="267"/>
      <c r="F210" s="260"/>
      <c r="G210" s="267">
        <f t="shared" si="3"/>
      </c>
      <c r="H210" s="41"/>
      <c r="I210" s="149"/>
      <c r="J210" s="149"/>
    </row>
    <row r="211" spans="1:10" ht="12.75">
      <c r="A211" s="224">
        <v>319020</v>
      </c>
      <c r="B211" s="9" t="s">
        <v>13</v>
      </c>
      <c r="C211" s="348"/>
      <c r="D211" s="260"/>
      <c r="E211" s="267"/>
      <c r="F211" s="260"/>
      <c r="G211" s="267">
        <f t="shared" si="3"/>
      </c>
      <c r="H211" s="41"/>
      <c r="I211" s="149"/>
      <c r="J211" s="149"/>
    </row>
    <row r="212" spans="1:10" ht="12.75">
      <c r="A212" s="224">
        <v>319021</v>
      </c>
      <c r="B212" s="9" t="s">
        <v>14</v>
      </c>
      <c r="C212" s="348"/>
      <c r="D212" s="260"/>
      <c r="E212" s="267"/>
      <c r="F212" s="260"/>
      <c r="G212" s="267">
        <f t="shared" si="3"/>
      </c>
      <c r="H212" s="41"/>
      <c r="I212" s="149"/>
      <c r="J212" s="149"/>
    </row>
    <row r="213" spans="1:10" ht="12.75">
      <c r="A213" s="224">
        <v>319022</v>
      </c>
      <c r="B213" s="9" t="s">
        <v>558</v>
      </c>
      <c r="C213" s="348"/>
      <c r="D213" s="260"/>
      <c r="E213" s="267"/>
      <c r="F213" s="260"/>
      <c r="G213" s="267">
        <f t="shared" si="3"/>
      </c>
      <c r="H213" s="41"/>
      <c r="I213" s="149"/>
      <c r="J213" s="149"/>
    </row>
    <row r="214" spans="1:10" ht="12.75">
      <c r="A214" s="224">
        <v>319023</v>
      </c>
      <c r="B214" s="9" t="s">
        <v>559</v>
      </c>
      <c r="C214" s="348"/>
      <c r="D214" s="260"/>
      <c r="E214" s="267"/>
      <c r="F214" s="260"/>
      <c r="G214" s="267">
        <f t="shared" si="3"/>
      </c>
      <c r="H214" s="41"/>
      <c r="I214" s="149"/>
      <c r="J214" s="149"/>
    </row>
    <row r="215" spans="1:10" ht="12.75">
      <c r="A215" s="224">
        <v>319025</v>
      </c>
      <c r="B215" s="9" t="s">
        <v>560</v>
      </c>
      <c r="C215" s="348"/>
      <c r="D215" s="260"/>
      <c r="E215" s="267"/>
      <c r="F215" s="260"/>
      <c r="G215" s="267">
        <f t="shared" si="3"/>
      </c>
      <c r="H215" s="41"/>
      <c r="I215" s="149"/>
      <c r="J215" s="149"/>
    </row>
    <row r="216" spans="1:10" ht="12.75">
      <c r="A216" s="224">
        <v>319027</v>
      </c>
      <c r="B216" s="9" t="s">
        <v>15</v>
      </c>
      <c r="C216" s="348"/>
      <c r="D216" s="260"/>
      <c r="E216" s="267"/>
      <c r="F216" s="260"/>
      <c r="G216" s="267">
        <f t="shared" si="3"/>
      </c>
      <c r="H216" s="41"/>
      <c r="I216" s="149"/>
      <c r="J216" s="149"/>
    </row>
    <row r="217" spans="1:10" ht="12.75">
      <c r="A217" s="224">
        <v>319029</v>
      </c>
      <c r="B217" s="9" t="s">
        <v>561</v>
      </c>
      <c r="C217" s="348"/>
      <c r="D217" s="260"/>
      <c r="E217" s="267"/>
      <c r="F217" s="260"/>
      <c r="G217" s="267">
        <f t="shared" si="3"/>
      </c>
      <c r="H217" s="41"/>
      <c r="I217" s="149"/>
      <c r="J217" s="149"/>
    </row>
    <row r="218" spans="1:10" ht="12.75">
      <c r="A218" s="224">
        <v>319030</v>
      </c>
      <c r="B218" s="9" t="s">
        <v>594</v>
      </c>
      <c r="C218" s="348"/>
      <c r="D218" s="260"/>
      <c r="E218" s="267"/>
      <c r="F218" s="260"/>
      <c r="G218" s="267">
        <f t="shared" si="3"/>
      </c>
      <c r="H218" s="41"/>
      <c r="I218" s="149"/>
      <c r="J218" s="149"/>
    </row>
    <row r="219" spans="1:10" ht="12.75">
      <c r="A219" s="224">
        <v>319031</v>
      </c>
      <c r="B219" s="9" t="s">
        <v>765</v>
      </c>
      <c r="C219" s="348"/>
      <c r="D219" s="260"/>
      <c r="E219" s="267"/>
      <c r="F219" s="260"/>
      <c r="G219" s="267">
        <f aca="true" t="shared" si="4" ref="G219:G235">IF(E219&lt;&gt;C219,C219-E219,"")</f>
      </c>
      <c r="H219" s="41"/>
      <c r="I219" s="149"/>
      <c r="J219" s="149"/>
    </row>
    <row r="220" spans="1:10" ht="12.75">
      <c r="A220" s="224">
        <v>319032</v>
      </c>
      <c r="B220" s="9" t="s">
        <v>16</v>
      </c>
      <c r="C220" s="348"/>
      <c r="D220" s="260"/>
      <c r="E220" s="267"/>
      <c r="F220" s="260"/>
      <c r="G220" s="267">
        <f t="shared" si="4"/>
      </c>
      <c r="H220" s="41"/>
      <c r="I220" s="149"/>
      <c r="J220" s="149"/>
    </row>
    <row r="221" spans="1:10" ht="12.75">
      <c r="A221" s="224">
        <v>319033</v>
      </c>
      <c r="B221" s="9" t="s">
        <v>766</v>
      </c>
      <c r="C221" s="348"/>
      <c r="D221" s="260"/>
      <c r="E221" s="267"/>
      <c r="F221" s="260"/>
      <c r="G221" s="267">
        <f>IF(E221&lt;&gt;C221,C221-E221,"")</f>
      </c>
      <c r="H221" s="41"/>
      <c r="I221" s="149"/>
      <c r="J221" s="149"/>
    </row>
    <row r="222" spans="1:10" ht="12.75">
      <c r="A222" s="224">
        <v>319040</v>
      </c>
      <c r="B222" s="9" t="s">
        <v>595</v>
      </c>
      <c r="C222" s="348"/>
      <c r="D222" s="260"/>
      <c r="E222" s="267"/>
      <c r="F222" s="260"/>
      <c r="G222" s="267">
        <f t="shared" si="4"/>
      </c>
      <c r="H222" s="41"/>
      <c r="I222" s="149"/>
      <c r="J222" s="149"/>
    </row>
    <row r="223" spans="1:10" ht="12.75">
      <c r="A223" s="224">
        <v>319050</v>
      </c>
      <c r="B223" s="9" t="s">
        <v>17</v>
      </c>
      <c r="C223" s="348"/>
      <c r="D223" s="260"/>
      <c r="E223" s="267"/>
      <c r="F223" s="260"/>
      <c r="G223" s="267">
        <f t="shared" si="4"/>
      </c>
      <c r="H223" s="41"/>
      <c r="I223" s="149"/>
      <c r="J223" s="149"/>
    </row>
    <row r="224" spans="1:10" ht="12.75">
      <c r="A224" s="224">
        <v>319055</v>
      </c>
      <c r="B224" s="9" t="s">
        <v>18</v>
      </c>
      <c r="C224" s="348"/>
      <c r="D224" s="260"/>
      <c r="E224" s="267"/>
      <c r="F224" s="260"/>
      <c r="G224" s="267">
        <f t="shared" si="4"/>
      </c>
      <c r="H224" s="41"/>
      <c r="I224" s="149"/>
      <c r="J224" s="149"/>
    </row>
    <row r="225" spans="1:10" ht="12.75">
      <c r="A225" s="224">
        <v>319056</v>
      </c>
      <c r="B225" s="9" t="s">
        <v>19</v>
      </c>
      <c r="C225" s="348"/>
      <c r="D225" s="260"/>
      <c r="E225" s="267"/>
      <c r="F225" s="260"/>
      <c r="G225" s="267">
        <f t="shared" si="4"/>
      </c>
      <c r="H225" s="41"/>
      <c r="I225" s="149"/>
      <c r="J225" s="149"/>
    </row>
    <row r="226" spans="1:10" ht="12.75">
      <c r="A226" s="224">
        <v>319057</v>
      </c>
      <c r="B226" s="9" t="s">
        <v>20</v>
      </c>
      <c r="C226" s="348"/>
      <c r="D226" s="260"/>
      <c r="E226" s="267"/>
      <c r="F226" s="260"/>
      <c r="G226" s="267">
        <f t="shared" si="4"/>
      </c>
      <c r="H226" s="41"/>
      <c r="I226" s="149"/>
      <c r="J226" s="149"/>
    </row>
    <row r="227" spans="1:10" ht="12.75">
      <c r="A227" s="224">
        <v>319060</v>
      </c>
      <c r="B227" s="9" t="s">
        <v>562</v>
      </c>
      <c r="C227" s="348"/>
      <c r="D227" s="260"/>
      <c r="E227" s="267"/>
      <c r="F227" s="260"/>
      <c r="G227" s="267">
        <f t="shared" si="4"/>
      </c>
      <c r="H227" s="41"/>
      <c r="I227" s="149"/>
      <c r="J227" s="149"/>
    </row>
    <row r="228" spans="1:10" ht="12.75">
      <c r="A228" s="224">
        <v>319061</v>
      </c>
      <c r="B228" s="9" t="s">
        <v>563</v>
      </c>
      <c r="C228" s="348"/>
      <c r="D228" s="260"/>
      <c r="E228" s="267"/>
      <c r="F228" s="260"/>
      <c r="G228" s="267">
        <f t="shared" si="4"/>
      </c>
      <c r="H228" s="41"/>
      <c r="I228" s="149"/>
      <c r="J228" s="149"/>
    </row>
    <row r="229" spans="1:10" ht="12.75">
      <c r="A229" s="224">
        <v>319063</v>
      </c>
      <c r="B229" s="9" t="s">
        <v>610</v>
      </c>
      <c r="C229" s="348"/>
      <c r="D229" s="260"/>
      <c r="E229" s="267"/>
      <c r="F229" s="260"/>
      <c r="G229" s="267">
        <f t="shared" si="4"/>
      </c>
      <c r="H229" s="41"/>
      <c r="I229" s="149"/>
      <c r="J229" s="149"/>
    </row>
    <row r="230" spans="1:10" ht="12.75">
      <c r="A230" s="224">
        <v>319064</v>
      </c>
      <c r="B230" s="9" t="s">
        <v>21</v>
      </c>
      <c r="C230" s="348"/>
      <c r="D230" s="260"/>
      <c r="E230" s="267"/>
      <c r="F230" s="260"/>
      <c r="G230" s="267">
        <f t="shared" si="4"/>
      </c>
      <c r="H230" s="41"/>
      <c r="I230" s="149"/>
      <c r="J230" s="149"/>
    </row>
    <row r="231" spans="1:10" ht="12.75">
      <c r="A231" s="224">
        <v>319069</v>
      </c>
      <c r="B231" s="9" t="s">
        <v>564</v>
      </c>
      <c r="C231" s="348"/>
      <c r="D231" s="260"/>
      <c r="E231" s="267"/>
      <c r="F231" s="260"/>
      <c r="G231" s="267">
        <f t="shared" si="4"/>
      </c>
      <c r="H231" s="41"/>
      <c r="I231" s="149"/>
      <c r="J231" s="149"/>
    </row>
    <row r="232" spans="1:10" ht="12.75">
      <c r="A232" s="224">
        <v>319074</v>
      </c>
      <c r="B232" s="9" t="s">
        <v>23</v>
      </c>
      <c r="C232" s="348"/>
      <c r="D232" s="260"/>
      <c r="E232" s="267"/>
      <c r="F232" s="260"/>
      <c r="G232" s="267">
        <f t="shared" si="4"/>
      </c>
      <c r="H232" s="41"/>
      <c r="I232" s="149"/>
      <c r="J232" s="149"/>
    </row>
    <row r="233" spans="1:10" ht="12.75">
      <c r="A233" s="224">
        <v>319075</v>
      </c>
      <c r="B233" s="9" t="s">
        <v>24</v>
      </c>
      <c r="C233" s="348"/>
      <c r="D233" s="260"/>
      <c r="E233" s="267"/>
      <c r="F233" s="260"/>
      <c r="G233" s="267">
        <f t="shared" si="4"/>
      </c>
      <c r="H233" s="41"/>
      <c r="I233" s="149"/>
      <c r="J233" s="149"/>
    </row>
    <row r="234" spans="1:10" ht="12.75">
      <c r="A234" s="224">
        <v>319077</v>
      </c>
      <c r="B234" s="9" t="s">
        <v>598</v>
      </c>
      <c r="C234" s="348"/>
      <c r="D234" s="260"/>
      <c r="E234" s="267"/>
      <c r="F234" s="260"/>
      <c r="G234" s="267">
        <f t="shared" si="4"/>
      </c>
      <c r="H234" s="41"/>
      <c r="I234" s="149"/>
      <c r="J234" s="149"/>
    </row>
    <row r="235" spans="1:10" ht="12.75">
      <c r="A235" s="224">
        <v>319078</v>
      </c>
      <c r="B235" s="218" t="s">
        <v>568</v>
      </c>
      <c r="C235" s="349"/>
      <c r="D235" s="260"/>
      <c r="E235" s="268"/>
      <c r="F235" s="260"/>
      <c r="G235" s="268">
        <f t="shared" si="4"/>
      </c>
      <c r="H235" s="41"/>
      <c r="I235" s="149"/>
      <c r="J235" s="149"/>
    </row>
    <row r="236" spans="1:10" ht="13.5" thickBot="1">
      <c r="A236" s="231" t="s">
        <v>401</v>
      </c>
      <c r="B236" s="6"/>
      <c r="C236" s="358">
        <f>SUM(C154:C235)</f>
        <v>0</v>
      </c>
      <c r="D236" s="260"/>
      <c r="E236" s="358">
        <v>0</v>
      </c>
      <c r="F236" s="260"/>
      <c r="G236" s="358">
        <f>SUM(G154:G235)</f>
        <v>0</v>
      </c>
      <c r="H236" s="41"/>
      <c r="I236" s="149"/>
      <c r="J236" s="149"/>
    </row>
    <row r="237" spans="1:10" ht="13.5" thickTop="1">
      <c r="A237" s="226"/>
      <c r="I237" s="149"/>
      <c r="J237" s="149"/>
    </row>
    <row r="238" spans="1:10" ht="15">
      <c r="A238" s="228" t="s">
        <v>520</v>
      </c>
      <c r="B238" s="2"/>
      <c r="C238" s="351"/>
      <c r="D238" s="261"/>
      <c r="E238" s="285"/>
      <c r="F238" s="261"/>
      <c r="G238" s="271"/>
      <c r="H238" s="171"/>
      <c r="I238" s="149"/>
      <c r="J238" s="149"/>
    </row>
    <row r="239" spans="1:10" ht="12.75">
      <c r="A239" s="224">
        <v>321210</v>
      </c>
      <c r="B239" s="9" t="s">
        <v>576</v>
      </c>
      <c r="C239" s="347"/>
      <c r="D239" s="260"/>
      <c r="E239" s="266"/>
      <c r="F239" s="260"/>
      <c r="G239" s="266">
        <f aca="true" t="shared" si="5" ref="G239:G302">IF(E239&lt;&gt;C239,C239-E239,"")</f>
      </c>
      <c r="H239" s="41"/>
      <c r="I239" s="149"/>
      <c r="J239" s="149"/>
    </row>
    <row r="240" spans="1:10" ht="12.75">
      <c r="A240" s="224">
        <v>321212</v>
      </c>
      <c r="B240" s="9" t="s">
        <v>27</v>
      </c>
      <c r="C240" s="348"/>
      <c r="D240" s="260"/>
      <c r="E240" s="267"/>
      <c r="F240" s="260"/>
      <c r="G240" s="267">
        <f t="shared" si="5"/>
      </c>
      <c r="H240" s="41"/>
      <c r="I240" s="149"/>
      <c r="J240" s="149"/>
    </row>
    <row r="241" spans="1:10" ht="12.75">
      <c r="A241" s="224">
        <v>321213</v>
      </c>
      <c r="B241" s="9" t="s">
        <v>28</v>
      </c>
      <c r="C241" s="348"/>
      <c r="D241" s="260"/>
      <c r="E241" s="267"/>
      <c r="F241" s="260"/>
      <c r="G241" s="267">
        <f t="shared" si="5"/>
      </c>
      <c r="H241" s="41"/>
      <c r="I241" s="149"/>
      <c r="J241" s="149"/>
    </row>
    <row r="242" spans="1:10" ht="12.75">
      <c r="A242" s="224">
        <v>321214</v>
      </c>
      <c r="B242" s="9" t="s">
        <v>577</v>
      </c>
      <c r="C242" s="348"/>
      <c r="D242" s="260"/>
      <c r="E242" s="267"/>
      <c r="F242" s="260"/>
      <c r="G242" s="267">
        <f t="shared" si="5"/>
      </c>
      <c r="H242" s="41"/>
      <c r="I242" s="149"/>
      <c r="J242" s="149"/>
    </row>
    <row r="243" spans="1:10" ht="12.75">
      <c r="A243" s="224">
        <v>321215</v>
      </c>
      <c r="B243" s="9" t="s">
        <v>578</v>
      </c>
      <c r="C243" s="348"/>
      <c r="D243" s="260"/>
      <c r="E243" s="267"/>
      <c r="F243" s="260"/>
      <c r="G243" s="267">
        <f t="shared" si="5"/>
      </c>
      <c r="H243" s="41"/>
      <c r="I243" s="149"/>
      <c r="J243" s="149"/>
    </row>
    <row r="244" spans="1:10" ht="12.75">
      <c r="A244" s="224">
        <v>321216</v>
      </c>
      <c r="B244" s="9" t="s">
        <v>29</v>
      </c>
      <c r="C244" s="348"/>
      <c r="D244" s="260"/>
      <c r="E244" s="267"/>
      <c r="F244" s="260"/>
      <c r="G244" s="267">
        <f t="shared" si="5"/>
      </c>
      <c r="H244" s="41"/>
      <c r="I244" s="149"/>
      <c r="J244" s="149"/>
    </row>
    <row r="245" spans="1:10" ht="12.75">
      <c r="A245" s="224">
        <v>321220</v>
      </c>
      <c r="B245" s="9" t="s">
        <v>30</v>
      </c>
      <c r="C245" s="348"/>
      <c r="D245" s="260"/>
      <c r="E245" s="267"/>
      <c r="F245" s="260"/>
      <c r="G245" s="267">
        <f t="shared" si="5"/>
      </c>
      <c r="H245" s="41"/>
      <c r="I245" s="149"/>
      <c r="J245" s="149"/>
    </row>
    <row r="246" spans="1:10" ht="12.75">
      <c r="A246" s="224">
        <v>321221</v>
      </c>
      <c r="B246" s="9" t="s">
        <v>31</v>
      </c>
      <c r="C246" s="348"/>
      <c r="D246" s="260"/>
      <c r="E246" s="267"/>
      <c r="F246" s="260"/>
      <c r="G246" s="267">
        <f t="shared" si="5"/>
      </c>
      <c r="H246" s="41"/>
      <c r="I246" s="149"/>
      <c r="J246" s="149"/>
    </row>
    <row r="247" spans="1:10" ht="12.75">
      <c r="A247" s="224">
        <v>321230</v>
      </c>
      <c r="B247" s="9" t="s">
        <v>32</v>
      </c>
      <c r="C247" s="348"/>
      <c r="D247" s="260"/>
      <c r="E247" s="267"/>
      <c r="F247" s="260"/>
      <c r="G247" s="267">
        <f t="shared" si="5"/>
      </c>
      <c r="H247" s="41"/>
      <c r="I247" s="149"/>
      <c r="J247" s="149"/>
    </row>
    <row r="248" spans="1:10" ht="12.75">
      <c r="A248" s="224">
        <v>321231</v>
      </c>
      <c r="B248" s="9" t="s">
        <v>33</v>
      </c>
      <c r="C248" s="348"/>
      <c r="D248" s="260"/>
      <c r="E248" s="267"/>
      <c r="F248" s="260"/>
      <c r="G248" s="267">
        <f t="shared" si="5"/>
      </c>
      <c r="H248" s="41"/>
      <c r="I248" s="149"/>
      <c r="J248" s="149"/>
    </row>
    <row r="249" spans="1:10" ht="12.75">
      <c r="A249" s="224">
        <v>321242</v>
      </c>
      <c r="B249" s="9" t="s">
        <v>34</v>
      </c>
      <c r="C249" s="348"/>
      <c r="D249" s="260"/>
      <c r="E249" s="267"/>
      <c r="F249" s="260"/>
      <c r="G249" s="267">
        <f t="shared" si="5"/>
      </c>
      <c r="H249" s="41"/>
      <c r="I249" s="149"/>
      <c r="J249" s="149"/>
    </row>
    <row r="250" spans="1:10" ht="12.75">
      <c r="A250" s="224">
        <v>321243</v>
      </c>
      <c r="B250" s="9" t="s">
        <v>35</v>
      </c>
      <c r="C250" s="348"/>
      <c r="D250" s="260"/>
      <c r="E250" s="267"/>
      <c r="F250" s="260"/>
      <c r="G250" s="267">
        <f t="shared" si="5"/>
      </c>
      <c r="H250" s="41"/>
      <c r="I250" s="149"/>
      <c r="J250" s="149"/>
    </row>
    <row r="251" spans="1:10" ht="12.75">
      <c r="A251" s="224">
        <v>321290</v>
      </c>
      <c r="B251" s="9" t="s">
        <v>36</v>
      </c>
      <c r="C251" s="348"/>
      <c r="D251" s="260"/>
      <c r="E251" s="267"/>
      <c r="F251" s="260"/>
      <c r="G251" s="267">
        <f t="shared" si="5"/>
      </c>
      <c r="H251" s="41"/>
      <c r="I251" s="149"/>
      <c r="J251" s="149"/>
    </row>
    <row r="252" spans="1:10" ht="12.75">
      <c r="A252" s="224">
        <v>321291</v>
      </c>
      <c r="B252" s="9" t="s">
        <v>37</v>
      </c>
      <c r="C252" s="348"/>
      <c r="D252" s="260"/>
      <c r="E252" s="267"/>
      <c r="F252" s="260"/>
      <c r="G252" s="267">
        <f t="shared" si="5"/>
      </c>
      <c r="H252" s="41"/>
      <c r="I252" s="149"/>
      <c r="J252" s="149"/>
    </row>
    <row r="253" spans="1:10" ht="12.75">
      <c r="A253" s="224">
        <v>324010</v>
      </c>
      <c r="B253" s="13" t="s">
        <v>550</v>
      </c>
      <c r="C253" s="348"/>
      <c r="D253" s="260"/>
      <c r="E253" s="267"/>
      <c r="F253" s="260"/>
      <c r="G253" s="267">
        <f t="shared" si="5"/>
      </c>
      <c r="H253" s="41"/>
      <c r="I253" s="149"/>
      <c r="J253" s="149"/>
    </row>
    <row r="254" spans="1:10" ht="12.75">
      <c r="A254" s="224">
        <v>324092</v>
      </c>
      <c r="B254" s="13" t="s">
        <v>590</v>
      </c>
      <c r="C254" s="348"/>
      <c r="D254" s="260"/>
      <c r="E254" s="267"/>
      <c r="F254" s="260"/>
      <c r="G254" s="267">
        <f t="shared" si="5"/>
      </c>
      <c r="H254" s="41"/>
      <c r="I254" s="149"/>
      <c r="J254" s="149"/>
    </row>
    <row r="255" spans="1:10" ht="12.75">
      <c r="A255" s="224">
        <v>324095</v>
      </c>
      <c r="B255" s="9" t="s">
        <v>554</v>
      </c>
      <c r="C255" s="354"/>
      <c r="D255" s="260"/>
      <c r="E255" s="275"/>
      <c r="F255" s="260"/>
      <c r="G255" s="275">
        <f t="shared" si="5"/>
      </c>
      <c r="H255" s="41"/>
      <c r="I255" s="149"/>
      <c r="J255" s="149"/>
    </row>
    <row r="256" spans="1:10" ht="12.75">
      <c r="A256" s="224">
        <v>329010</v>
      </c>
      <c r="B256" s="9" t="s">
        <v>556</v>
      </c>
      <c r="C256" s="348"/>
      <c r="D256" s="260"/>
      <c r="E256" s="267"/>
      <c r="F256" s="260"/>
      <c r="G256" s="267">
        <f t="shared" si="5"/>
      </c>
      <c r="H256" s="41"/>
      <c r="I256" s="149"/>
      <c r="J256" s="149"/>
    </row>
    <row r="257" spans="1:10" ht="12.75">
      <c r="A257" s="224">
        <v>329027</v>
      </c>
      <c r="B257" s="9" t="s">
        <v>15</v>
      </c>
      <c r="C257" s="348"/>
      <c r="D257" s="260"/>
      <c r="E257" s="267"/>
      <c r="F257" s="260"/>
      <c r="G257" s="267">
        <f t="shared" si="5"/>
      </c>
      <c r="H257" s="41"/>
      <c r="I257" s="149"/>
      <c r="J257" s="149"/>
    </row>
    <row r="258" spans="1:10" ht="12.75">
      <c r="A258" s="224">
        <v>329040</v>
      </c>
      <c r="B258" s="9" t="s">
        <v>769</v>
      </c>
      <c r="C258" s="348"/>
      <c r="D258" s="260"/>
      <c r="E258" s="267"/>
      <c r="F258" s="260"/>
      <c r="G258" s="267">
        <f t="shared" si="5"/>
      </c>
      <c r="H258" s="41"/>
      <c r="I258" s="149"/>
      <c r="J258" s="149"/>
    </row>
    <row r="259" spans="1:10" ht="12.75">
      <c r="A259" s="224">
        <v>329060</v>
      </c>
      <c r="B259" s="9" t="s">
        <v>562</v>
      </c>
      <c r="C259" s="348"/>
      <c r="D259" s="260"/>
      <c r="E259" s="267"/>
      <c r="F259" s="260"/>
      <c r="G259" s="267">
        <f t="shared" si="5"/>
      </c>
      <c r="H259" s="41"/>
      <c r="I259" s="149"/>
      <c r="J259" s="149"/>
    </row>
    <row r="260" spans="1:10" ht="12.75">
      <c r="A260" s="224">
        <v>329064</v>
      </c>
      <c r="B260" s="9" t="s">
        <v>21</v>
      </c>
      <c r="C260" s="348"/>
      <c r="D260" s="260"/>
      <c r="E260" s="267"/>
      <c r="F260" s="260"/>
      <c r="G260" s="267">
        <f t="shared" si="5"/>
      </c>
      <c r="H260" s="41"/>
      <c r="I260" s="149"/>
      <c r="J260" s="149"/>
    </row>
    <row r="261" spans="1:10" ht="12.75">
      <c r="A261" s="224">
        <v>329069</v>
      </c>
      <c r="B261" s="218" t="s">
        <v>564</v>
      </c>
      <c r="C261" s="349"/>
      <c r="D261" s="260"/>
      <c r="E261" s="268"/>
      <c r="F261" s="260"/>
      <c r="G261" s="268">
        <f t="shared" si="5"/>
      </c>
      <c r="H261" s="41"/>
      <c r="I261" s="149"/>
      <c r="J261" s="149"/>
    </row>
    <row r="262" spans="1:10" ht="13.5" thickBot="1">
      <c r="A262" s="231" t="s">
        <v>401</v>
      </c>
      <c r="B262" s="6"/>
      <c r="C262" s="358">
        <f>SUM(C239:C261)</f>
        <v>0</v>
      </c>
      <c r="D262" s="260"/>
      <c r="E262" s="358">
        <v>0</v>
      </c>
      <c r="F262" s="260"/>
      <c r="G262" s="273">
        <f>SUM(G239:G261)</f>
        <v>0</v>
      </c>
      <c r="H262" s="41"/>
      <c r="I262" s="149"/>
      <c r="J262" s="149"/>
    </row>
    <row r="263" spans="1:10" ht="13.5" thickTop="1">
      <c r="A263" s="226"/>
      <c r="G263" s="277">
        <f t="shared" si="5"/>
      </c>
      <c r="I263" s="149"/>
      <c r="J263" s="149"/>
    </row>
    <row r="264" spans="1:10" ht="15">
      <c r="A264" s="228" t="s">
        <v>521</v>
      </c>
      <c r="B264" s="2"/>
      <c r="C264" s="351"/>
      <c r="D264" s="261"/>
      <c r="E264" s="285"/>
      <c r="F264" s="261"/>
      <c r="G264" s="271"/>
      <c r="H264" s="171"/>
      <c r="I264" s="149"/>
      <c r="J264" s="149"/>
    </row>
    <row r="265" spans="1:10" ht="12.75">
      <c r="A265" s="224">
        <v>331310</v>
      </c>
      <c r="B265" s="9" t="s">
        <v>579</v>
      </c>
      <c r="C265" s="347"/>
      <c r="D265" s="260"/>
      <c r="E265" s="266"/>
      <c r="F265" s="260"/>
      <c r="G265" s="266">
        <f t="shared" si="5"/>
      </c>
      <c r="H265" s="41"/>
      <c r="I265" s="149"/>
      <c r="J265" s="149"/>
    </row>
    <row r="266" spans="1:10" ht="12.75">
      <c r="A266" s="224">
        <v>331311</v>
      </c>
      <c r="B266" s="12" t="s">
        <v>580</v>
      </c>
      <c r="C266" s="348"/>
      <c r="D266" s="260"/>
      <c r="E266" s="267"/>
      <c r="F266" s="260"/>
      <c r="G266" s="267">
        <f t="shared" si="5"/>
      </c>
      <c r="H266" s="41"/>
      <c r="I266" s="149"/>
      <c r="J266" s="149"/>
    </row>
    <row r="267" spans="1:10" ht="12.75">
      <c r="A267" s="224">
        <v>331312</v>
      </c>
      <c r="B267" s="9" t="s">
        <v>38</v>
      </c>
      <c r="C267" s="348"/>
      <c r="D267" s="260"/>
      <c r="E267" s="267"/>
      <c r="F267" s="260"/>
      <c r="G267" s="267">
        <f t="shared" si="5"/>
      </c>
      <c r="H267" s="41"/>
      <c r="I267" s="149"/>
      <c r="J267" s="149"/>
    </row>
    <row r="268" spans="1:10" ht="12.75">
      <c r="A268" s="224">
        <v>331313</v>
      </c>
      <c r="B268" s="12" t="s">
        <v>39</v>
      </c>
      <c r="C268" s="348"/>
      <c r="D268" s="260"/>
      <c r="E268" s="267"/>
      <c r="F268" s="260"/>
      <c r="G268" s="267">
        <f t="shared" si="5"/>
      </c>
      <c r="H268" s="41"/>
      <c r="I268" s="149"/>
      <c r="J268" s="149"/>
    </row>
    <row r="269" spans="1:10" ht="12.75">
      <c r="A269" s="224">
        <v>331320</v>
      </c>
      <c r="B269" s="9" t="s">
        <v>40</v>
      </c>
      <c r="C269" s="348"/>
      <c r="D269" s="260"/>
      <c r="E269" s="267"/>
      <c r="F269" s="260"/>
      <c r="G269" s="267">
        <f t="shared" si="5"/>
      </c>
      <c r="H269" s="41"/>
      <c r="I269" s="149"/>
      <c r="J269" s="149"/>
    </row>
    <row r="270" spans="1:10" ht="12.75">
      <c r="A270" s="224">
        <v>331321</v>
      </c>
      <c r="B270" s="12" t="s">
        <v>41</v>
      </c>
      <c r="C270" s="348"/>
      <c r="D270" s="260"/>
      <c r="E270" s="267"/>
      <c r="F270" s="260"/>
      <c r="G270" s="267">
        <f t="shared" si="5"/>
      </c>
      <c r="H270" s="41"/>
      <c r="I270" s="149"/>
      <c r="J270" s="149"/>
    </row>
    <row r="271" spans="1:10" ht="12.75">
      <c r="A271" s="224">
        <v>331330</v>
      </c>
      <c r="B271" s="9" t="s">
        <v>42</v>
      </c>
      <c r="C271" s="348"/>
      <c r="D271" s="260"/>
      <c r="E271" s="267"/>
      <c r="F271" s="260"/>
      <c r="G271" s="267">
        <f t="shared" si="5"/>
      </c>
      <c r="H271" s="41"/>
      <c r="I271" s="149"/>
      <c r="J271" s="149"/>
    </row>
    <row r="272" spans="1:10" ht="12.75">
      <c r="A272" s="224">
        <v>331331</v>
      </c>
      <c r="B272" s="12" t="s">
        <v>43</v>
      </c>
      <c r="C272" s="348"/>
      <c r="D272" s="260"/>
      <c r="E272" s="267"/>
      <c r="F272" s="260"/>
      <c r="G272" s="267">
        <f t="shared" si="5"/>
      </c>
      <c r="H272" s="41"/>
      <c r="I272" s="149"/>
      <c r="J272" s="149"/>
    </row>
    <row r="273" spans="1:10" ht="12.75">
      <c r="A273" s="224">
        <v>331332</v>
      </c>
      <c r="B273" s="9" t="s">
        <v>44</v>
      </c>
      <c r="C273" s="348"/>
      <c r="D273" s="260"/>
      <c r="E273" s="267"/>
      <c r="F273" s="260"/>
      <c r="G273" s="267">
        <f t="shared" si="5"/>
      </c>
      <c r="H273" s="41"/>
      <c r="I273" s="149"/>
      <c r="J273" s="149"/>
    </row>
    <row r="274" spans="1:10" ht="12.75">
      <c r="A274" s="224">
        <v>331333</v>
      </c>
      <c r="B274" s="12" t="s">
        <v>45</v>
      </c>
      <c r="C274" s="348"/>
      <c r="D274" s="260"/>
      <c r="E274" s="267"/>
      <c r="F274" s="260"/>
      <c r="G274" s="267">
        <f t="shared" si="5"/>
      </c>
      <c r="H274" s="41"/>
      <c r="I274" s="149"/>
      <c r="J274" s="149"/>
    </row>
    <row r="275" spans="1:10" ht="12.75">
      <c r="A275" s="224">
        <v>331334</v>
      </c>
      <c r="B275" s="9" t="s">
        <v>46</v>
      </c>
      <c r="C275" s="348"/>
      <c r="D275" s="260"/>
      <c r="E275" s="267"/>
      <c r="F275" s="260"/>
      <c r="G275" s="267">
        <f t="shared" si="5"/>
      </c>
      <c r="H275" s="41"/>
      <c r="I275" s="149"/>
      <c r="J275" s="149"/>
    </row>
    <row r="276" spans="1:10" ht="12.75">
      <c r="A276" s="224">
        <v>331335</v>
      </c>
      <c r="B276" s="12" t="s">
        <v>47</v>
      </c>
      <c r="C276" s="348"/>
      <c r="D276" s="260"/>
      <c r="E276" s="267"/>
      <c r="F276" s="260"/>
      <c r="G276" s="267">
        <f t="shared" si="5"/>
      </c>
      <c r="H276" s="41"/>
      <c r="I276" s="149"/>
      <c r="J276" s="149"/>
    </row>
    <row r="277" spans="1:10" ht="12.75">
      <c r="A277" s="224">
        <v>331340</v>
      </c>
      <c r="B277" s="9" t="s">
        <v>48</v>
      </c>
      <c r="C277" s="348"/>
      <c r="D277" s="260"/>
      <c r="E277" s="267"/>
      <c r="F277" s="260"/>
      <c r="G277" s="267">
        <f t="shared" si="5"/>
      </c>
      <c r="H277" s="41"/>
      <c r="I277" s="149"/>
      <c r="J277" s="149"/>
    </row>
    <row r="278" spans="1:10" ht="12.75">
      <c r="A278" s="224">
        <v>331341</v>
      </c>
      <c r="B278" s="9" t="s">
        <v>49</v>
      </c>
      <c r="C278" s="348"/>
      <c r="D278" s="260"/>
      <c r="E278" s="267"/>
      <c r="F278" s="260"/>
      <c r="G278" s="267">
        <f t="shared" si="5"/>
      </c>
      <c r="H278" s="41"/>
      <c r="I278" s="149"/>
      <c r="J278" s="149"/>
    </row>
    <row r="279" spans="1:10" ht="12.75">
      <c r="A279" s="224">
        <v>331342</v>
      </c>
      <c r="B279" s="9" t="s">
        <v>50</v>
      </c>
      <c r="C279" s="348"/>
      <c r="D279" s="260"/>
      <c r="E279" s="267"/>
      <c r="F279" s="260"/>
      <c r="G279" s="267">
        <f t="shared" si="5"/>
      </c>
      <c r="H279" s="41"/>
      <c r="I279" s="149"/>
      <c r="J279" s="149"/>
    </row>
    <row r="280" spans="1:10" ht="12.75">
      <c r="A280" s="224">
        <v>331343</v>
      </c>
      <c r="B280" s="12" t="s">
        <v>51</v>
      </c>
      <c r="C280" s="348"/>
      <c r="D280" s="260"/>
      <c r="E280" s="267"/>
      <c r="F280" s="260"/>
      <c r="G280" s="267">
        <f t="shared" si="5"/>
      </c>
      <c r="H280" s="41"/>
      <c r="I280" s="149"/>
      <c r="J280" s="149"/>
    </row>
    <row r="281" spans="1:10" ht="12.75">
      <c r="A281" s="224">
        <v>331350</v>
      </c>
      <c r="B281" s="9" t="s">
        <v>52</v>
      </c>
      <c r="C281" s="348"/>
      <c r="D281" s="260"/>
      <c r="E281" s="267"/>
      <c r="F281" s="260"/>
      <c r="G281" s="267">
        <f t="shared" si="5"/>
      </c>
      <c r="H281" s="41"/>
      <c r="I281" s="149"/>
      <c r="J281" s="149"/>
    </row>
    <row r="282" spans="1:10" ht="12.75">
      <c r="A282" s="224">
        <v>331351</v>
      </c>
      <c r="B282" s="9" t="s">
        <v>53</v>
      </c>
      <c r="C282" s="348"/>
      <c r="D282" s="260"/>
      <c r="E282" s="267"/>
      <c r="F282" s="260"/>
      <c r="G282" s="267">
        <f t="shared" si="5"/>
      </c>
      <c r="H282" s="41"/>
      <c r="I282" s="149"/>
      <c r="J282" s="149"/>
    </row>
    <row r="283" spans="1:10" ht="12.75">
      <c r="A283" s="224">
        <v>331352</v>
      </c>
      <c r="B283" s="9" t="s">
        <v>54</v>
      </c>
      <c r="C283" s="348"/>
      <c r="D283" s="260"/>
      <c r="E283" s="267"/>
      <c r="F283" s="260"/>
      <c r="G283" s="267">
        <f t="shared" si="5"/>
      </c>
      <c r="H283" s="41"/>
      <c r="I283" s="149"/>
      <c r="J283" s="149"/>
    </row>
    <row r="284" spans="1:10" ht="12.75">
      <c r="A284" s="224">
        <v>331353</v>
      </c>
      <c r="B284" s="9" t="s">
        <v>55</v>
      </c>
      <c r="C284" s="348"/>
      <c r="D284" s="260"/>
      <c r="E284" s="267"/>
      <c r="F284" s="260"/>
      <c r="G284" s="267">
        <f t="shared" si="5"/>
      </c>
      <c r="H284" s="41"/>
      <c r="I284" s="149"/>
      <c r="J284" s="149"/>
    </row>
    <row r="285" spans="1:10" ht="12.75">
      <c r="A285" s="224">
        <v>331360</v>
      </c>
      <c r="B285" s="9" t="s">
        <v>56</v>
      </c>
      <c r="C285" s="348"/>
      <c r="D285" s="260"/>
      <c r="E285" s="267"/>
      <c r="F285" s="260"/>
      <c r="G285" s="267">
        <f t="shared" si="5"/>
      </c>
      <c r="H285" s="41"/>
      <c r="I285" s="149"/>
      <c r="J285" s="149"/>
    </row>
    <row r="286" spans="1:10" ht="12.75">
      <c r="A286" s="224">
        <v>331361</v>
      </c>
      <c r="B286" s="9" t="s">
        <v>57</v>
      </c>
      <c r="C286" s="348"/>
      <c r="D286" s="260"/>
      <c r="E286" s="267"/>
      <c r="F286" s="260"/>
      <c r="G286" s="267">
        <f t="shared" si="5"/>
      </c>
      <c r="H286" s="41"/>
      <c r="I286" s="149"/>
      <c r="J286" s="149"/>
    </row>
    <row r="287" spans="1:10" ht="12.75">
      <c r="A287" s="224">
        <v>331390</v>
      </c>
      <c r="B287" s="9" t="s">
        <v>58</v>
      </c>
      <c r="C287" s="348"/>
      <c r="D287" s="260"/>
      <c r="E287" s="267"/>
      <c r="F287" s="260"/>
      <c r="G287" s="267">
        <f t="shared" si="5"/>
      </c>
      <c r="H287" s="41"/>
      <c r="I287" s="149"/>
      <c r="J287" s="149"/>
    </row>
    <row r="288" spans="1:10" ht="12.75">
      <c r="A288" s="224">
        <v>331391</v>
      </c>
      <c r="B288" s="12" t="s">
        <v>59</v>
      </c>
      <c r="C288" s="348"/>
      <c r="D288" s="260"/>
      <c r="E288" s="267"/>
      <c r="F288" s="260"/>
      <c r="G288" s="267">
        <f t="shared" si="5"/>
      </c>
      <c r="H288" s="41"/>
      <c r="I288" s="149"/>
      <c r="J288" s="149"/>
    </row>
    <row r="289" spans="1:10" ht="12.75">
      <c r="A289" s="224">
        <v>334092</v>
      </c>
      <c r="B289" s="12" t="s">
        <v>590</v>
      </c>
      <c r="C289" s="348"/>
      <c r="D289" s="260"/>
      <c r="E289" s="267"/>
      <c r="F289" s="260"/>
      <c r="G289" s="267">
        <f t="shared" si="5"/>
      </c>
      <c r="H289" s="41"/>
      <c r="I289" s="149"/>
      <c r="J289" s="149"/>
    </row>
    <row r="290" spans="1:10" ht="12.75">
      <c r="A290" s="224">
        <v>334095</v>
      </c>
      <c r="B290" s="9" t="s">
        <v>554</v>
      </c>
      <c r="C290" s="354"/>
      <c r="D290" s="260"/>
      <c r="E290" s="275"/>
      <c r="F290" s="260"/>
      <c r="G290" s="275">
        <f t="shared" si="5"/>
      </c>
      <c r="H290" s="41"/>
      <c r="I290" s="149"/>
      <c r="J290" s="149"/>
    </row>
    <row r="291" spans="1:10" ht="12.75">
      <c r="A291" s="224">
        <v>336301</v>
      </c>
      <c r="B291" s="12" t="s">
        <v>60</v>
      </c>
      <c r="C291" s="348"/>
      <c r="D291" s="260"/>
      <c r="E291" s="267"/>
      <c r="F291" s="260"/>
      <c r="G291" s="267">
        <f t="shared" si="5"/>
      </c>
      <c r="H291" s="41"/>
      <c r="I291" s="149"/>
      <c r="J291" s="149"/>
    </row>
    <row r="292" spans="1:10" ht="12.75">
      <c r="A292" s="224">
        <v>336311</v>
      </c>
      <c r="B292" s="9" t="s">
        <v>61</v>
      </c>
      <c r="C292" s="348"/>
      <c r="D292" s="260"/>
      <c r="E292" s="267"/>
      <c r="F292" s="260"/>
      <c r="G292" s="267">
        <f t="shared" si="5"/>
      </c>
      <c r="H292" s="41"/>
      <c r="I292" s="149"/>
      <c r="J292" s="149"/>
    </row>
    <row r="293" spans="1:10" ht="12.75">
      <c r="A293" s="224">
        <v>336312</v>
      </c>
      <c r="B293" s="9" t="s">
        <v>62</v>
      </c>
      <c r="C293" s="348"/>
      <c r="D293" s="260"/>
      <c r="E293" s="267"/>
      <c r="F293" s="260"/>
      <c r="G293" s="267">
        <f t="shared" si="5"/>
      </c>
      <c r="H293" s="41"/>
      <c r="I293" s="149"/>
      <c r="J293" s="149"/>
    </row>
    <row r="294" spans="1:10" ht="12.75">
      <c r="A294" s="224">
        <v>336313</v>
      </c>
      <c r="B294" s="9" t="s">
        <v>63</v>
      </c>
      <c r="C294" s="348"/>
      <c r="D294" s="260"/>
      <c r="E294" s="267"/>
      <c r="F294" s="260"/>
      <c r="G294" s="267">
        <f t="shared" si="5"/>
      </c>
      <c r="H294" s="41"/>
      <c r="I294" s="149"/>
      <c r="J294" s="149"/>
    </row>
    <row r="295" spans="1:10" ht="12.75">
      <c r="A295" s="224">
        <v>336314</v>
      </c>
      <c r="B295" s="9" t="s">
        <v>64</v>
      </c>
      <c r="C295" s="348"/>
      <c r="D295" s="260"/>
      <c r="E295" s="267"/>
      <c r="F295" s="260"/>
      <c r="G295" s="267">
        <f t="shared" si="5"/>
      </c>
      <c r="H295" s="41"/>
      <c r="I295" s="149"/>
      <c r="J295" s="149"/>
    </row>
    <row r="296" spans="1:10" ht="12.75">
      <c r="A296" s="224">
        <v>336315</v>
      </c>
      <c r="B296" s="9" t="s">
        <v>65</v>
      </c>
      <c r="C296" s="348"/>
      <c r="D296" s="260"/>
      <c r="E296" s="267"/>
      <c r="F296" s="260"/>
      <c r="G296" s="267">
        <f t="shared" si="5"/>
      </c>
      <c r="H296" s="41"/>
      <c r="I296" s="149"/>
      <c r="J296" s="149"/>
    </row>
    <row r="297" spans="1:10" ht="12.75">
      <c r="A297" s="224">
        <v>336316</v>
      </c>
      <c r="B297" s="9" t="s">
        <v>66</v>
      </c>
      <c r="C297" s="348"/>
      <c r="D297" s="260"/>
      <c r="E297" s="267"/>
      <c r="F297" s="260"/>
      <c r="G297" s="267">
        <f t="shared" si="5"/>
      </c>
      <c r="H297" s="41"/>
      <c r="I297" s="149"/>
      <c r="J297" s="149"/>
    </row>
    <row r="298" spans="1:10" ht="12.75">
      <c r="A298" s="224">
        <v>336317</v>
      </c>
      <c r="B298" s="9" t="s">
        <v>67</v>
      </c>
      <c r="C298" s="348"/>
      <c r="D298" s="260"/>
      <c r="E298" s="267"/>
      <c r="F298" s="260"/>
      <c r="G298" s="267">
        <f t="shared" si="5"/>
      </c>
      <c r="H298" s="41"/>
      <c r="I298" s="149"/>
      <c r="J298" s="149"/>
    </row>
    <row r="299" spans="1:10" ht="12.75">
      <c r="A299" s="224">
        <v>336318</v>
      </c>
      <c r="B299" s="9" t="s">
        <v>68</v>
      </c>
      <c r="C299" s="348"/>
      <c r="D299" s="260"/>
      <c r="E299" s="267"/>
      <c r="F299" s="260"/>
      <c r="G299" s="267">
        <f t="shared" si="5"/>
      </c>
      <c r="H299" s="41"/>
      <c r="I299" s="149"/>
      <c r="J299" s="149"/>
    </row>
    <row r="300" spans="1:10" ht="12.75">
      <c r="A300" s="224">
        <v>336319</v>
      </c>
      <c r="B300" s="9" t="s">
        <v>69</v>
      </c>
      <c r="C300" s="348"/>
      <c r="D300" s="260"/>
      <c r="E300" s="267"/>
      <c r="F300" s="260"/>
      <c r="G300" s="267">
        <f t="shared" si="5"/>
      </c>
      <c r="H300" s="41"/>
      <c r="I300" s="149"/>
      <c r="J300" s="149"/>
    </row>
    <row r="301" spans="1:10" ht="12.75">
      <c r="A301" s="224">
        <v>336320</v>
      </c>
      <c r="B301" s="9" t="s">
        <v>70</v>
      </c>
      <c r="C301" s="348"/>
      <c r="D301" s="260"/>
      <c r="E301" s="267"/>
      <c r="F301" s="260"/>
      <c r="G301" s="267">
        <f t="shared" si="5"/>
      </c>
      <c r="H301" s="41"/>
      <c r="I301" s="149"/>
      <c r="J301" s="149"/>
    </row>
    <row r="302" spans="1:10" ht="12.75">
      <c r="A302" s="224">
        <v>336321</v>
      </c>
      <c r="B302" s="9" t="s">
        <v>71</v>
      </c>
      <c r="C302" s="348"/>
      <c r="D302" s="260"/>
      <c r="E302" s="267"/>
      <c r="F302" s="260"/>
      <c r="G302" s="267">
        <f t="shared" si="5"/>
      </c>
      <c r="H302" s="41"/>
      <c r="I302" s="149"/>
      <c r="J302" s="149"/>
    </row>
    <row r="303" spans="1:10" ht="12.75">
      <c r="A303" s="224">
        <v>336323</v>
      </c>
      <c r="B303" s="9" t="s">
        <v>72</v>
      </c>
      <c r="C303" s="348"/>
      <c r="D303" s="260"/>
      <c r="E303" s="267"/>
      <c r="F303" s="260"/>
      <c r="G303" s="267">
        <f aca="true" t="shared" si="6" ref="G303:G368">IF(E303&lt;&gt;C303,C303-E303,"")</f>
      </c>
      <c r="H303" s="41"/>
      <c r="I303" s="149"/>
      <c r="J303" s="149"/>
    </row>
    <row r="304" spans="1:10" ht="12.75">
      <c r="A304" s="224">
        <v>336325</v>
      </c>
      <c r="B304" s="9" t="s">
        <v>73</v>
      </c>
      <c r="C304" s="348"/>
      <c r="D304" s="260"/>
      <c r="E304" s="267"/>
      <c r="F304" s="260"/>
      <c r="G304" s="267">
        <f t="shared" si="6"/>
      </c>
      <c r="H304" s="41"/>
      <c r="I304" s="149"/>
      <c r="J304" s="149"/>
    </row>
    <row r="305" spans="1:10" ht="12.75">
      <c r="A305" s="224">
        <v>336327</v>
      </c>
      <c r="B305" s="9" t="s">
        <v>74</v>
      </c>
      <c r="C305" s="348"/>
      <c r="D305" s="260"/>
      <c r="E305" s="267"/>
      <c r="F305" s="260"/>
      <c r="G305" s="267">
        <f t="shared" si="6"/>
      </c>
      <c r="H305" s="41"/>
      <c r="I305" s="149"/>
      <c r="J305" s="149"/>
    </row>
    <row r="306" spans="1:10" ht="12.75">
      <c r="A306" s="224">
        <v>336330</v>
      </c>
      <c r="B306" s="9" t="s">
        <v>75</v>
      </c>
      <c r="C306" s="348"/>
      <c r="D306" s="260"/>
      <c r="E306" s="267"/>
      <c r="F306" s="260"/>
      <c r="G306" s="267">
        <f t="shared" si="6"/>
      </c>
      <c r="H306" s="41"/>
      <c r="I306" s="149"/>
      <c r="J306" s="149"/>
    </row>
    <row r="307" spans="1:10" ht="12.75">
      <c r="A307" s="224">
        <v>336332</v>
      </c>
      <c r="B307" s="9" t="s">
        <v>76</v>
      </c>
      <c r="C307" s="348"/>
      <c r="D307" s="260"/>
      <c r="E307" s="267"/>
      <c r="F307" s="260"/>
      <c r="G307" s="267">
        <f t="shared" si="6"/>
      </c>
      <c r="H307" s="41"/>
      <c r="I307" s="149"/>
      <c r="J307" s="149"/>
    </row>
    <row r="308" spans="1:10" ht="12.75">
      <c r="A308" s="224">
        <v>336334</v>
      </c>
      <c r="B308" s="9" t="s">
        <v>77</v>
      </c>
      <c r="C308" s="348"/>
      <c r="D308" s="260"/>
      <c r="E308" s="267"/>
      <c r="F308" s="260"/>
      <c r="G308" s="267">
        <f t="shared" si="6"/>
      </c>
      <c r="H308" s="41"/>
      <c r="I308" s="149"/>
      <c r="J308" s="149"/>
    </row>
    <row r="309" spans="1:10" ht="12.75">
      <c r="A309" s="224">
        <v>336341</v>
      </c>
      <c r="B309" s="9" t="s">
        <v>78</v>
      </c>
      <c r="C309" s="348"/>
      <c r="D309" s="260"/>
      <c r="E309" s="267"/>
      <c r="F309" s="260"/>
      <c r="G309" s="267">
        <f t="shared" si="6"/>
      </c>
      <c r="H309" s="41"/>
      <c r="I309" s="149"/>
      <c r="J309" s="149"/>
    </row>
    <row r="310" spans="1:10" ht="12.75">
      <c r="A310" s="224">
        <v>336342</v>
      </c>
      <c r="B310" s="9" t="s">
        <v>79</v>
      </c>
      <c r="C310" s="348"/>
      <c r="D310" s="260"/>
      <c r="E310" s="267"/>
      <c r="F310" s="260"/>
      <c r="G310" s="267">
        <f t="shared" si="6"/>
      </c>
      <c r="H310" s="41"/>
      <c r="I310" s="149"/>
      <c r="J310" s="149"/>
    </row>
    <row r="311" spans="1:10" ht="12.75">
      <c r="A311" s="224">
        <v>336350</v>
      </c>
      <c r="B311" s="9" t="s">
        <v>80</v>
      </c>
      <c r="C311" s="348"/>
      <c r="D311" s="260"/>
      <c r="E311" s="267"/>
      <c r="F311" s="260"/>
      <c r="G311" s="267">
        <f t="shared" si="6"/>
      </c>
      <c r="H311" s="41"/>
      <c r="I311" s="149"/>
      <c r="J311" s="149"/>
    </row>
    <row r="312" spans="1:10" ht="12.75">
      <c r="A312" s="224">
        <v>336351</v>
      </c>
      <c r="B312" s="12" t="s">
        <v>0</v>
      </c>
      <c r="C312" s="348"/>
      <c r="D312" s="260"/>
      <c r="E312" s="267"/>
      <c r="F312" s="260"/>
      <c r="G312" s="267">
        <f t="shared" si="6"/>
      </c>
      <c r="H312" s="41"/>
      <c r="I312" s="149"/>
      <c r="J312" s="149"/>
    </row>
    <row r="313" spans="1:10" ht="12.75">
      <c r="A313" s="224">
        <v>336360</v>
      </c>
      <c r="B313" s="9" t="s">
        <v>81</v>
      </c>
      <c r="C313" s="348"/>
      <c r="D313" s="260"/>
      <c r="E313" s="267"/>
      <c r="F313" s="260"/>
      <c r="G313" s="267">
        <f t="shared" si="6"/>
      </c>
      <c r="H313" s="41"/>
      <c r="I313" s="149"/>
      <c r="J313" s="149"/>
    </row>
    <row r="314" spans="1:10" ht="12.75">
      <c r="A314" s="224">
        <v>336361</v>
      </c>
      <c r="B314" s="9" t="s">
        <v>82</v>
      </c>
      <c r="C314" s="348"/>
      <c r="D314" s="260"/>
      <c r="E314" s="267"/>
      <c r="F314" s="260"/>
      <c r="G314" s="267">
        <f t="shared" si="6"/>
      </c>
      <c r="H314" s="41"/>
      <c r="I314" s="149"/>
      <c r="J314" s="149"/>
    </row>
    <row r="315" spans="1:10" ht="12.75">
      <c r="A315" s="224">
        <v>336362</v>
      </c>
      <c r="B315" s="9" t="s">
        <v>83</v>
      </c>
      <c r="C315" s="348"/>
      <c r="D315" s="260"/>
      <c r="E315" s="267"/>
      <c r="F315" s="260"/>
      <c r="G315" s="267">
        <f t="shared" si="6"/>
      </c>
      <c r="H315" s="41"/>
      <c r="I315" s="149"/>
      <c r="J315" s="149"/>
    </row>
    <row r="316" spans="1:10" ht="12.75">
      <c r="A316" s="224">
        <v>338673</v>
      </c>
      <c r="B316" s="9" t="s">
        <v>370</v>
      </c>
      <c r="C316" s="348"/>
      <c r="D316" s="260"/>
      <c r="E316" s="267"/>
      <c r="F316" s="260"/>
      <c r="G316" s="267">
        <f t="shared" si="6"/>
      </c>
      <c r="H316" s="41"/>
      <c r="I316" s="149"/>
      <c r="J316" s="149"/>
    </row>
    <row r="317" spans="1:10" ht="12.75">
      <c r="A317" s="224">
        <v>339010</v>
      </c>
      <c r="B317" s="9" t="s">
        <v>556</v>
      </c>
      <c r="C317" s="348"/>
      <c r="D317" s="260"/>
      <c r="E317" s="267"/>
      <c r="F317" s="260"/>
      <c r="G317" s="267">
        <f t="shared" si="6"/>
      </c>
      <c r="H317" s="41"/>
      <c r="I317" s="149"/>
      <c r="J317" s="149"/>
    </row>
    <row r="318" spans="1:10" ht="12.75">
      <c r="A318" s="224">
        <v>339011</v>
      </c>
      <c r="B318" s="9" t="s">
        <v>11</v>
      </c>
      <c r="C318" s="348"/>
      <c r="D318" s="260"/>
      <c r="E318" s="267"/>
      <c r="F318" s="260"/>
      <c r="G318" s="267">
        <f t="shared" si="6"/>
      </c>
      <c r="H318" s="41"/>
      <c r="I318" s="149"/>
      <c r="J318" s="149"/>
    </row>
    <row r="319" spans="1:10" ht="12.75">
      <c r="A319" s="224">
        <v>339023</v>
      </c>
      <c r="B319" s="9" t="s">
        <v>559</v>
      </c>
      <c r="C319" s="348"/>
      <c r="D319" s="260"/>
      <c r="E319" s="267"/>
      <c r="F319" s="260"/>
      <c r="G319" s="267">
        <f t="shared" si="6"/>
      </c>
      <c r="H319" s="41"/>
      <c r="I319" s="149"/>
      <c r="J319" s="149"/>
    </row>
    <row r="320" spans="1:10" ht="12.75">
      <c r="A320" s="224">
        <v>339025</v>
      </c>
      <c r="B320" s="9" t="s">
        <v>560</v>
      </c>
      <c r="C320" s="348"/>
      <c r="D320" s="260"/>
      <c r="E320" s="267"/>
      <c r="F320" s="260"/>
      <c r="G320" s="267">
        <f t="shared" si="6"/>
      </c>
      <c r="H320" s="41"/>
      <c r="I320" s="149"/>
      <c r="J320" s="149"/>
    </row>
    <row r="321" spans="1:10" ht="12.75">
      <c r="A321" s="224">
        <v>339027</v>
      </c>
      <c r="B321" s="9" t="s">
        <v>15</v>
      </c>
      <c r="C321" s="348"/>
      <c r="D321" s="260"/>
      <c r="E321" s="267"/>
      <c r="F321" s="260"/>
      <c r="G321" s="267">
        <f t="shared" si="6"/>
      </c>
      <c r="H321" s="41"/>
      <c r="I321" s="149"/>
      <c r="J321" s="149"/>
    </row>
    <row r="322" spans="1:10" ht="12.75">
      <c r="A322" s="224">
        <v>339029</v>
      </c>
      <c r="B322" s="9" t="s">
        <v>561</v>
      </c>
      <c r="C322" s="348"/>
      <c r="D322" s="260"/>
      <c r="E322" s="267"/>
      <c r="F322" s="260"/>
      <c r="G322" s="267">
        <f t="shared" si="6"/>
      </c>
      <c r="H322" s="41"/>
      <c r="I322" s="149"/>
      <c r="J322" s="149"/>
    </row>
    <row r="323" spans="1:10" ht="12.75">
      <c r="A323" s="224">
        <v>339040</v>
      </c>
      <c r="B323" s="9" t="s">
        <v>769</v>
      </c>
      <c r="C323" s="348"/>
      <c r="D323" s="260"/>
      <c r="E323" s="267"/>
      <c r="F323" s="260"/>
      <c r="G323" s="267">
        <f t="shared" si="6"/>
      </c>
      <c r="H323" s="41"/>
      <c r="I323" s="149"/>
      <c r="J323" s="149"/>
    </row>
    <row r="324" spans="1:10" ht="12.75">
      <c r="A324" s="224">
        <v>339050</v>
      </c>
      <c r="B324" s="9" t="s">
        <v>17</v>
      </c>
      <c r="C324" s="348"/>
      <c r="D324" s="260"/>
      <c r="E324" s="267"/>
      <c r="F324" s="260"/>
      <c r="G324" s="267">
        <f t="shared" si="6"/>
      </c>
      <c r="H324" s="41"/>
      <c r="I324" s="149"/>
      <c r="J324" s="149"/>
    </row>
    <row r="325" spans="1:10" ht="12.75">
      <c r="A325" s="224">
        <v>339051</v>
      </c>
      <c r="B325" s="9" t="s">
        <v>84</v>
      </c>
      <c r="C325" s="348"/>
      <c r="D325" s="260"/>
      <c r="E325" s="267"/>
      <c r="F325" s="260"/>
      <c r="G325" s="267">
        <f t="shared" si="6"/>
      </c>
      <c r="H325" s="41"/>
      <c r="I325" s="149"/>
      <c r="J325" s="149"/>
    </row>
    <row r="326" spans="1:10" ht="12.75">
      <c r="A326" s="224">
        <v>339052</v>
      </c>
      <c r="B326" s="9" t="s">
        <v>85</v>
      </c>
      <c r="C326" s="348"/>
      <c r="D326" s="260"/>
      <c r="E326" s="267"/>
      <c r="F326" s="260"/>
      <c r="G326" s="267">
        <f t="shared" si="6"/>
      </c>
      <c r="H326" s="41"/>
      <c r="I326" s="149"/>
      <c r="J326" s="149"/>
    </row>
    <row r="327" spans="1:10" ht="12.75">
      <c r="A327" s="224">
        <v>339053</v>
      </c>
      <c r="B327" s="9" t="s">
        <v>86</v>
      </c>
      <c r="C327" s="348"/>
      <c r="D327" s="260"/>
      <c r="E327" s="267"/>
      <c r="F327" s="260"/>
      <c r="G327" s="267">
        <f t="shared" si="6"/>
      </c>
      <c r="H327" s="41"/>
      <c r="I327" s="149"/>
      <c r="J327" s="149"/>
    </row>
    <row r="328" spans="1:10" ht="12.75">
      <c r="A328" s="224">
        <v>339054</v>
      </c>
      <c r="B328" s="9" t="s">
        <v>87</v>
      </c>
      <c r="C328" s="348"/>
      <c r="D328" s="260"/>
      <c r="E328" s="267"/>
      <c r="F328" s="260"/>
      <c r="G328" s="267">
        <f t="shared" si="6"/>
      </c>
      <c r="H328" s="41"/>
      <c r="I328" s="149"/>
      <c r="J328" s="149"/>
    </row>
    <row r="329" spans="1:10" ht="12.75">
      <c r="A329" s="224">
        <v>339055</v>
      </c>
      <c r="B329" s="9" t="s">
        <v>18</v>
      </c>
      <c r="C329" s="348"/>
      <c r="D329" s="260"/>
      <c r="E329" s="267"/>
      <c r="F329" s="260"/>
      <c r="G329" s="267">
        <f t="shared" si="6"/>
      </c>
      <c r="H329" s="41"/>
      <c r="I329" s="149"/>
      <c r="J329" s="149"/>
    </row>
    <row r="330" spans="1:10" ht="12.75">
      <c r="A330" s="224">
        <v>339060</v>
      </c>
      <c r="B330" s="9" t="s">
        <v>562</v>
      </c>
      <c r="C330" s="348"/>
      <c r="D330" s="260"/>
      <c r="E330" s="267"/>
      <c r="F330" s="260"/>
      <c r="G330" s="267">
        <f t="shared" si="6"/>
      </c>
      <c r="H330" s="41"/>
      <c r="I330" s="149"/>
      <c r="J330" s="149"/>
    </row>
    <row r="331" spans="1:10" ht="12.75">
      <c r="A331" s="224">
        <v>339064</v>
      </c>
      <c r="B331" s="9" t="s">
        <v>21</v>
      </c>
      <c r="C331" s="348"/>
      <c r="D331" s="260"/>
      <c r="E331" s="267"/>
      <c r="F331" s="260"/>
      <c r="G331" s="267">
        <f t="shared" si="6"/>
      </c>
      <c r="H331" s="41"/>
      <c r="I331" s="149"/>
      <c r="J331" s="149"/>
    </row>
    <row r="332" spans="1:10" ht="12.75">
      <c r="A332" s="224">
        <v>339069</v>
      </c>
      <c r="B332" s="218" t="s">
        <v>564</v>
      </c>
      <c r="C332" s="349"/>
      <c r="D332" s="260"/>
      <c r="E332" s="268"/>
      <c r="F332" s="260"/>
      <c r="G332" s="268">
        <f t="shared" si="6"/>
      </c>
      <c r="H332" s="41"/>
      <c r="I332" s="149"/>
      <c r="J332" s="149"/>
    </row>
    <row r="333" spans="1:10" ht="13.5" thickBot="1">
      <c r="A333" s="231" t="s">
        <v>401</v>
      </c>
      <c r="B333" s="6"/>
      <c r="C333" s="358">
        <f>SUM(C265:C332)</f>
        <v>0</v>
      </c>
      <c r="D333" s="260"/>
      <c r="E333" s="358">
        <v>0</v>
      </c>
      <c r="F333" s="260"/>
      <c r="G333" s="273">
        <f>SUM(G265:G332)</f>
        <v>0</v>
      </c>
      <c r="H333" s="41"/>
      <c r="I333" s="149"/>
      <c r="J333" s="149"/>
    </row>
    <row r="334" spans="1:10" ht="13.5" thickTop="1">
      <c r="A334" s="226"/>
      <c r="B334" s="3"/>
      <c r="G334" s="277">
        <f t="shared" si="6"/>
      </c>
      <c r="I334" s="149"/>
      <c r="J334" s="149"/>
    </row>
    <row r="335" spans="1:10" ht="15">
      <c r="A335" s="228" t="s">
        <v>522</v>
      </c>
      <c r="B335" s="2"/>
      <c r="C335" s="351"/>
      <c r="D335" s="261"/>
      <c r="E335" s="285"/>
      <c r="F335" s="261"/>
      <c r="G335" s="271"/>
      <c r="H335" s="171"/>
      <c r="I335" s="149"/>
      <c r="J335" s="149"/>
    </row>
    <row r="336" spans="1:10" ht="12.75">
      <c r="A336" s="224">
        <v>341410</v>
      </c>
      <c r="B336" s="9" t="s">
        <v>88</v>
      </c>
      <c r="C336" s="347"/>
      <c r="D336" s="260"/>
      <c r="E336" s="266"/>
      <c r="F336" s="260"/>
      <c r="G336" s="266">
        <f t="shared" si="6"/>
      </c>
      <c r="H336" s="41"/>
      <c r="I336" s="149"/>
      <c r="J336" s="149"/>
    </row>
    <row r="337" spans="1:10" ht="12.75">
      <c r="A337" s="224">
        <v>341411</v>
      </c>
      <c r="B337" s="12" t="s">
        <v>89</v>
      </c>
      <c r="C337" s="348"/>
      <c r="D337" s="260"/>
      <c r="E337" s="267"/>
      <c r="F337" s="260"/>
      <c r="G337" s="267">
        <f t="shared" si="6"/>
      </c>
      <c r="H337" s="41"/>
      <c r="I337" s="149"/>
      <c r="J337" s="149"/>
    </row>
    <row r="338" spans="1:10" ht="12.75">
      <c r="A338" s="224">
        <v>341412</v>
      </c>
      <c r="B338" s="9" t="s">
        <v>90</v>
      </c>
      <c r="C338" s="348"/>
      <c r="D338" s="260"/>
      <c r="E338" s="267"/>
      <c r="F338" s="260"/>
      <c r="G338" s="267">
        <f t="shared" si="6"/>
      </c>
      <c r="H338" s="41"/>
      <c r="I338" s="149"/>
      <c r="J338" s="149"/>
    </row>
    <row r="339" spans="1:10" ht="12.75">
      <c r="A339" s="224">
        <v>341413</v>
      </c>
      <c r="B339" s="9" t="s">
        <v>91</v>
      </c>
      <c r="C339" s="348"/>
      <c r="D339" s="260"/>
      <c r="E339" s="267"/>
      <c r="F339" s="260"/>
      <c r="G339" s="267">
        <f t="shared" si="6"/>
      </c>
      <c r="H339" s="41"/>
      <c r="I339" s="149"/>
      <c r="J339" s="149"/>
    </row>
    <row r="340" spans="1:10" ht="12.75">
      <c r="A340" s="224">
        <v>341414</v>
      </c>
      <c r="B340" s="9" t="s">
        <v>92</v>
      </c>
      <c r="C340" s="348"/>
      <c r="D340" s="260"/>
      <c r="E340" s="267"/>
      <c r="F340" s="260"/>
      <c r="G340" s="267">
        <f t="shared" si="6"/>
      </c>
      <c r="H340" s="41"/>
      <c r="I340" s="149"/>
      <c r="J340" s="149"/>
    </row>
    <row r="341" spans="1:10" ht="12.75">
      <c r="A341" s="224">
        <v>341415</v>
      </c>
      <c r="B341" s="12" t="s">
        <v>93</v>
      </c>
      <c r="C341" s="348"/>
      <c r="D341" s="260"/>
      <c r="E341" s="267"/>
      <c r="F341" s="260"/>
      <c r="G341" s="267">
        <f t="shared" si="6"/>
      </c>
      <c r="H341" s="41"/>
      <c r="I341" s="149"/>
      <c r="J341" s="149"/>
    </row>
    <row r="342" spans="1:10" ht="12.75">
      <c r="A342" s="224">
        <v>341416</v>
      </c>
      <c r="B342" s="9" t="s">
        <v>94</v>
      </c>
      <c r="C342" s="348"/>
      <c r="D342" s="260"/>
      <c r="E342" s="267"/>
      <c r="F342" s="260"/>
      <c r="G342" s="267">
        <f t="shared" si="6"/>
      </c>
      <c r="H342" s="41"/>
      <c r="I342" s="149"/>
      <c r="J342" s="149"/>
    </row>
    <row r="343" spans="1:10" ht="12.75">
      <c r="A343" s="224">
        <v>341417</v>
      </c>
      <c r="B343" s="12" t="s">
        <v>95</v>
      </c>
      <c r="C343" s="348"/>
      <c r="D343" s="260"/>
      <c r="E343" s="267"/>
      <c r="F343" s="260"/>
      <c r="G343" s="267">
        <f t="shared" si="6"/>
      </c>
      <c r="H343" s="41"/>
      <c r="I343" s="149"/>
      <c r="J343" s="149"/>
    </row>
    <row r="344" spans="1:10" ht="12.75">
      <c r="A344" s="224">
        <v>341420</v>
      </c>
      <c r="B344" s="9" t="s">
        <v>96</v>
      </c>
      <c r="C344" s="348"/>
      <c r="D344" s="260"/>
      <c r="E344" s="267"/>
      <c r="F344" s="260"/>
      <c r="G344" s="267">
        <f t="shared" si="6"/>
      </c>
      <c r="H344" s="41"/>
      <c r="I344" s="149"/>
      <c r="J344" s="149"/>
    </row>
    <row r="345" spans="1:10" ht="12.75">
      <c r="A345" s="224">
        <v>341421</v>
      </c>
      <c r="B345" s="9" t="s">
        <v>97</v>
      </c>
      <c r="C345" s="348"/>
      <c r="D345" s="260"/>
      <c r="E345" s="267"/>
      <c r="F345" s="260"/>
      <c r="G345" s="267">
        <f t="shared" si="6"/>
      </c>
      <c r="H345" s="41"/>
      <c r="I345" s="149"/>
      <c r="J345" s="149"/>
    </row>
    <row r="346" spans="1:10" ht="12.75">
      <c r="A346" s="224">
        <v>341430</v>
      </c>
      <c r="B346" s="9" t="s">
        <v>98</v>
      </c>
      <c r="C346" s="348"/>
      <c r="D346" s="260"/>
      <c r="E346" s="267"/>
      <c r="F346" s="260"/>
      <c r="G346" s="267">
        <f t="shared" si="6"/>
      </c>
      <c r="H346" s="41"/>
      <c r="I346" s="149"/>
      <c r="J346" s="149"/>
    </row>
    <row r="347" spans="1:10" ht="12.75">
      <c r="A347" s="224">
        <v>341431</v>
      </c>
      <c r="B347" s="9" t="s">
        <v>99</v>
      </c>
      <c r="C347" s="348"/>
      <c r="D347" s="260"/>
      <c r="E347" s="267"/>
      <c r="F347" s="260"/>
      <c r="G347" s="267">
        <f t="shared" si="6"/>
      </c>
      <c r="H347" s="41"/>
      <c r="I347" s="149"/>
      <c r="J347" s="149"/>
    </row>
    <row r="348" spans="1:10" ht="12.75">
      <c r="A348" s="224">
        <v>341440</v>
      </c>
      <c r="B348" s="9" t="s">
        <v>100</v>
      </c>
      <c r="C348" s="348"/>
      <c r="D348" s="260"/>
      <c r="E348" s="267"/>
      <c r="F348" s="260"/>
      <c r="G348" s="267">
        <f t="shared" si="6"/>
      </c>
      <c r="H348" s="41"/>
      <c r="I348" s="149"/>
      <c r="J348" s="149"/>
    </row>
    <row r="349" spans="1:10" ht="12.75">
      <c r="A349" s="224">
        <v>341441</v>
      </c>
      <c r="B349" s="9" t="s">
        <v>101</v>
      </c>
      <c r="C349" s="348"/>
      <c r="D349" s="260"/>
      <c r="E349" s="267"/>
      <c r="F349" s="260"/>
      <c r="G349" s="267">
        <f t="shared" si="6"/>
      </c>
      <c r="H349" s="41"/>
      <c r="I349" s="149"/>
      <c r="J349" s="149"/>
    </row>
    <row r="350" spans="1:10" ht="12.75">
      <c r="A350" s="224">
        <v>341450</v>
      </c>
      <c r="B350" s="9" t="s">
        <v>820</v>
      </c>
      <c r="C350" s="348"/>
      <c r="D350" s="260"/>
      <c r="E350" s="267"/>
      <c r="F350" s="260"/>
      <c r="G350" s="267">
        <f>IF(E350&lt;&gt;C350,C350-E350,"")</f>
      </c>
      <c r="H350" s="41"/>
      <c r="I350" s="149"/>
      <c r="J350" s="149"/>
    </row>
    <row r="351" spans="1:10" ht="12.75">
      <c r="A351" s="224">
        <v>341451</v>
      </c>
      <c r="B351" s="9" t="s">
        <v>821</v>
      </c>
      <c r="C351" s="348"/>
      <c r="D351" s="260"/>
      <c r="E351" s="267"/>
      <c r="F351" s="260"/>
      <c r="G351" s="267">
        <f>IF(E351&lt;&gt;C351,C351-E351,"")</f>
      </c>
      <c r="H351" s="41"/>
      <c r="I351" s="149"/>
      <c r="J351" s="149"/>
    </row>
    <row r="352" spans="1:10" ht="12.75">
      <c r="A352" s="224">
        <v>341490</v>
      </c>
      <c r="B352" s="9" t="s">
        <v>102</v>
      </c>
      <c r="C352" s="348"/>
      <c r="D352" s="260"/>
      <c r="E352" s="267"/>
      <c r="F352" s="260"/>
      <c r="G352" s="267">
        <f t="shared" si="6"/>
      </c>
      <c r="H352" s="41"/>
      <c r="I352" s="149"/>
      <c r="J352" s="149"/>
    </row>
    <row r="353" spans="1:10" ht="12.75">
      <c r="A353" s="224">
        <v>341491</v>
      </c>
      <c r="B353" s="12" t="s">
        <v>103</v>
      </c>
      <c r="C353" s="348"/>
      <c r="D353" s="260"/>
      <c r="E353" s="267"/>
      <c r="F353" s="260"/>
      <c r="G353" s="267">
        <f t="shared" si="6"/>
      </c>
      <c r="H353" s="41"/>
      <c r="I353" s="149"/>
      <c r="J353" s="149"/>
    </row>
    <row r="354" spans="1:10" ht="12.75">
      <c r="A354" s="224">
        <v>344092</v>
      </c>
      <c r="B354" s="9" t="s">
        <v>590</v>
      </c>
      <c r="C354" s="348"/>
      <c r="D354" s="260"/>
      <c r="E354" s="267"/>
      <c r="F354" s="260"/>
      <c r="G354" s="267">
        <f t="shared" si="6"/>
      </c>
      <c r="H354" s="41"/>
      <c r="I354" s="149"/>
      <c r="J354" s="149"/>
    </row>
    <row r="355" spans="1:10" ht="12.75">
      <c r="A355" s="224">
        <v>344095</v>
      </c>
      <c r="B355" s="12" t="s">
        <v>554</v>
      </c>
      <c r="C355" s="354"/>
      <c r="D355" s="260"/>
      <c r="E355" s="275"/>
      <c r="F355" s="260"/>
      <c r="G355" s="275">
        <f t="shared" si="6"/>
      </c>
      <c r="H355" s="41"/>
      <c r="I355" s="149"/>
      <c r="J355" s="149"/>
    </row>
    <row r="356" spans="1:10" ht="12.75">
      <c r="A356" s="224">
        <v>346420</v>
      </c>
      <c r="B356" s="9" t="s">
        <v>104</v>
      </c>
      <c r="C356" s="348"/>
      <c r="D356" s="260"/>
      <c r="E356" s="267"/>
      <c r="F356" s="260"/>
      <c r="G356" s="267">
        <f t="shared" si="6"/>
      </c>
      <c r="H356" s="41"/>
      <c r="I356" s="149"/>
      <c r="J356" s="149"/>
    </row>
    <row r="357" spans="1:10" ht="12.75">
      <c r="A357" s="224">
        <v>346430</v>
      </c>
      <c r="B357" s="12" t="s">
        <v>105</v>
      </c>
      <c r="C357" s="348"/>
      <c r="D357" s="260"/>
      <c r="E357" s="267"/>
      <c r="F357" s="260"/>
      <c r="G357" s="267">
        <f t="shared" si="6"/>
      </c>
      <c r="H357" s="41"/>
      <c r="I357" s="149"/>
      <c r="J357" s="149"/>
    </row>
    <row r="358" spans="1:10" ht="12.75">
      <c r="A358" s="224">
        <v>346440</v>
      </c>
      <c r="B358" s="9" t="s">
        <v>106</v>
      </c>
      <c r="C358" s="348"/>
      <c r="D358" s="260"/>
      <c r="E358" s="267"/>
      <c r="F358" s="260"/>
      <c r="G358" s="267">
        <f t="shared" si="6"/>
      </c>
      <c r="H358" s="41"/>
      <c r="I358" s="149"/>
      <c r="J358" s="149"/>
    </row>
    <row r="359" spans="1:10" ht="12.75">
      <c r="A359" s="224">
        <v>346450</v>
      </c>
      <c r="B359" s="9" t="s">
        <v>107</v>
      </c>
      <c r="C359" s="348"/>
      <c r="D359" s="260"/>
      <c r="E359" s="267"/>
      <c r="F359" s="260"/>
      <c r="G359" s="267">
        <f t="shared" si="6"/>
      </c>
      <c r="H359" s="41"/>
      <c r="I359" s="149"/>
      <c r="J359" s="149"/>
    </row>
    <row r="360" spans="1:10" ht="12.75">
      <c r="A360" s="224">
        <v>346460</v>
      </c>
      <c r="B360" s="9" t="s">
        <v>108</v>
      </c>
      <c r="C360" s="348"/>
      <c r="D360" s="260"/>
      <c r="E360" s="267"/>
      <c r="F360" s="260"/>
      <c r="G360" s="267">
        <f t="shared" si="6"/>
      </c>
      <c r="H360" s="41"/>
      <c r="I360" s="149"/>
      <c r="J360" s="149"/>
    </row>
    <row r="361" spans="1:10" ht="12.75">
      <c r="A361" s="224">
        <v>349010</v>
      </c>
      <c r="B361" s="9" t="s">
        <v>556</v>
      </c>
      <c r="C361" s="348"/>
      <c r="D361" s="260"/>
      <c r="E361" s="267"/>
      <c r="F361" s="260"/>
      <c r="G361" s="267">
        <f t="shared" si="6"/>
      </c>
      <c r="H361" s="41"/>
      <c r="I361" s="149"/>
      <c r="J361" s="149"/>
    </row>
    <row r="362" spans="1:10" ht="12.75">
      <c r="A362" s="224">
        <v>349011</v>
      </c>
      <c r="B362" s="9" t="s">
        <v>11</v>
      </c>
      <c r="C362" s="348"/>
      <c r="D362" s="260"/>
      <c r="E362" s="267"/>
      <c r="F362" s="260"/>
      <c r="G362" s="267">
        <f t="shared" si="6"/>
      </c>
      <c r="H362" s="41"/>
      <c r="I362" s="149"/>
      <c r="J362" s="149"/>
    </row>
    <row r="363" spans="1:10" ht="12.75">
      <c r="A363" s="224">
        <v>349027</v>
      </c>
      <c r="B363" s="9" t="s">
        <v>15</v>
      </c>
      <c r="C363" s="348"/>
      <c r="D363" s="260"/>
      <c r="E363" s="267"/>
      <c r="F363" s="260"/>
      <c r="G363" s="267">
        <f t="shared" si="6"/>
      </c>
      <c r="H363" s="41"/>
      <c r="I363" s="149"/>
      <c r="J363" s="149"/>
    </row>
    <row r="364" spans="1:10" ht="12.75">
      <c r="A364" s="224">
        <v>349040</v>
      </c>
      <c r="B364" s="9" t="s">
        <v>769</v>
      </c>
      <c r="C364" s="348"/>
      <c r="D364" s="260"/>
      <c r="E364" s="267"/>
      <c r="F364" s="260"/>
      <c r="G364" s="267">
        <f t="shared" si="6"/>
      </c>
      <c r="H364" s="41"/>
      <c r="I364" s="149"/>
      <c r="J364" s="149"/>
    </row>
    <row r="365" spans="1:10" ht="12.75">
      <c r="A365" s="224">
        <v>349050</v>
      </c>
      <c r="B365" s="9" t="s">
        <v>17</v>
      </c>
      <c r="C365" s="348"/>
      <c r="D365" s="260"/>
      <c r="E365" s="267"/>
      <c r="F365" s="260"/>
      <c r="G365" s="267">
        <f t="shared" si="6"/>
      </c>
      <c r="H365" s="41"/>
      <c r="I365" s="149"/>
      <c r="J365" s="149"/>
    </row>
    <row r="366" spans="1:10" ht="12.75">
      <c r="A366" s="224">
        <v>349052</v>
      </c>
      <c r="B366" s="9" t="s">
        <v>85</v>
      </c>
      <c r="C366" s="348"/>
      <c r="D366" s="260"/>
      <c r="E366" s="267"/>
      <c r="F366" s="260"/>
      <c r="G366" s="267">
        <f t="shared" si="6"/>
      </c>
      <c r="H366" s="41"/>
      <c r="I366" s="149"/>
      <c r="J366" s="149"/>
    </row>
    <row r="367" spans="1:10" ht="12.75">
      <c r="A367" s="224">
        <v>349053</v>
      </c>
      <c r="B367" s="9" t="s">
        <v>86</v>
      </c>
      <c r="C367" s="348"/>
      <c r="D367" s="260"/>
      <c r="E367" s="267"/>
      <c r="F367" s="260"/>
      <c r="G367" s="267">
        <f t="shared" si="6"/>
      </c>
      <c r="H367" s="41"/>
      <c r="I367" s="149"/>
      <c r="J367" s="149"/>
    </row>
    <row r="368" spans="1:10" ht="12.75">
      <c r="A368" s="224">
        <v>349054</v>
      </c>
      <c r="B368" s="9" t="s">
        <v>87</v>
      </c>
      <c r="C368" s="348"/>
      <c r="D368" s="260"/>
      <c r="E368" s="267"/>
      <c r="F368" s="260"/>
      <c r="G368" s="267">
        <f t="shared" si="6"/>
      </c>
      <c r="H368" s="41"/>
      <c r="I368" s="149"/>
      <c r="J368" s="149"/>
    </row>
    <row r="369" spans="1:10" ht="12.75">
      <c r="A369" s="224">
        <v>349060</v>
      </c>
      <c r="B369" s="9" t="s">
        <v>562</v>
      </c>
      <c r="C369" s="348"/>
      <c r="D369" s="260"/>
      <c r="E369" s="267"/>
      <c r="F369" s="260"/>
      <c r="G369" s="267">
        <f>IF(E369&lt;&gt;C369,C369-E369,"")</f>
      </c>
      <c r="H369" s="41"/>
      <c r="I369" s="149"/>
      <c r="J369" s="149"/>
    </row>
    <row r="370" spans="1:10" ht="12.75">
      <c r="A370" s="224">
        <v>349064</v>
      </c>
      <c r="B370" s="9" t="s">
        <v>21</v>
      </c>
      <c r="C370" s="348"/>
      <c r="D370" s="260"/>
      <c r="E370" s="267"/>
      <c r="F370" s="260"/>
      <c r="G370" s="267">
        <f>IF(E370&lt;&gt;C370,C370-E370,"")</f>
      </c>
      <c r="H370" s="41"/>
      <c r="I370" s="149"/>
      <c r="J370" s="149"/>
    </row>
    <row r="371" spans="1:10" ht="12.75">
      <c r="A371" s="224">
        <v>349069</v>
      </c>
      <c r="B371" s="218" t="s">
        <v>564</v>
      </c>
      <c r="C371" s="349"/>
      <c r="D371" s="260"/>
      <c r="E371" s="268"/>
      <c r="F371" s="260"/>
      <c r="G371" s="268">
        <f>IF(E371&lt;&gt;C371,C371-E371,"")</f>
      </c>
      <c r="H371" s="41"/>
      <c r="I371" s="149"/>
      <c r="J371" s="149"/>
    </row>
    <row r="372" spans="1:10" ht="13.5" thickBot="1">
      <c r="A372" s="231" t="s">
        <v>401</v>
      </c>
      <c r="B372" s="6"/>
      <c r="C372" s="358">
        <f>SUM(C336:C371)</f>
        <v>0</v>
      </c>
      <c r="D372" s="260"/>
      <c r="E372" s="358">
        <v>0</v>
      </c>
      <c r="F372" s="260"/>
      <c r="G372" s="273">
        <f>SUM(G336:G371)</f>
        <v>0</v>
      </c>
      <c r="H372" s="41"/>
      <c r="I372" s="149"/>
      <c r="J372" s="149"/>
    </row>
    <row r="373" spans="1:10" ht="13.5" thickTop="1">
      <c r="A373" s="226"/>
      <c r="I373" s="149"/>
      <c r="J373" s="149"/>
    </row>
    <row r="374" spans="1:10" ht="15">
      <c r="A374" s="228" t="s">
        <v>523</v>
      </c>
      <c r="B374" s="2"/>
      <c r="C374" s="351"/>
      <c r="D374" s="261"/>
      <c r="E374" s="285"/>
      <c r="F374" s="261"/>
      <c r="G374" s="271"/>
      <c r="H374" s="171"/>
      <c r="I374" s="149"/>
      <c r="J374" s="149"/>
    </row>
    <row r="375" spans="1:10" ht="12.75">
      <c r="A375" s="224">
        <v>351510</v>
      </c>
      <c r="B375" s="9" t="s">
        <v>109</v>
      </c>
      <c r="C375" s="347"/>
      <c r="D375" s="260"/>
      <c r="E375" s="266"/>
      <c r="F375" s="260"/>
      <c r="G375" s="266">
        <f aca="true" t="shared" si="7" ref="G375:G401">IF(E375&lt;&gt;C375,C375-E375,"")</f>
      </c>
      <c r="H375" s="41"/>
      <c r="I375" s="149"/>
      <c r="J375" s="149"/>
    </row>
    <row r="376" spans="1:10" ht="12.75">
      <c r="A376" s="224">
        <v>351511</v>
      </c>
      <c r="B376" s="12" t="s">
        <v>110</v>
      </c>
      <c r="C376" s="348"/>
      <c r="D376" s="260"/>
      <c r="E376" s="267"/>
      <c r="F376" s="260"/>
      <c r="G376" s="267">
        <f t="shared" si="7"/>
      </c>
      <c r="H376" s="41"/>
      <c r="I376" s="149"/>
      <c r="J376" s="149"/>
    </row>
    <row r="377" spans="1:10" ht="12.75">
      <c r="A377" s="224">
        <v>351530</v>
      </c>
      <c r="B377" s="9" t="s">
        <v>111</v>
      </c>
      <c r="C377" s="348"/>
      <c r="D377" s="260"/>
      <c r="E377" s="267"/>
      <c r="F377" s="260"/>
      <c r="G377" s="267">
        <f t="shared" si="7"/>
      </c>
      <c r="H377" s="41"/>
      <c r="I377" s="149"/>
      <c r="J377" s="149"/>
    </row>
    <row r="378" spans="1:10" ht="12.75">
      <c r="A378" s="224">
        <v>351531</v>
      </c>
      <c r="B378" s="9" t="s">
        <v>112</v>
      </c>
      <c r="C378" s="348"/>
      <c r="D378" s="260"/>
      <c r="E378" s="267"/>
      <c r="F378" s="260"/>
      <c r="G378" s="267">
        <f t="shared" si="7"/>
      </c>
      <c r="H378" s="41"/>
      <c r="I378" s="149"/>
      <c r="J378" s="149"/>
    </row>
    <row r="379" spans="1:10" ht="12.75">
      <c r="A379" s="224">
        <v>351590</v>
      </c>
      <c r="B379" s="9" t="s">
        <v>113</v>
      </c>
      <c r="C379" s="348"/>
      <c r="D379" s="260"/>
      <c r="E379" s="267"/>
      <c r="F379" s="260"/>
      <c r="G379" s="267">
        <f t="shared" si="7"/>
      </c>
      <c r="H379" s="41"/>
      <c r="I379" s="149"/>
      <c r="J379" s="149"/>
    </row>
    <row r="380" spans="1:10" ht="12.75">
      <c r="A380" s="224">
        <v>351591</v>
      </c>
      <c r="B380" s="9" t="s">
        <v>114</v>
      </c>
      <c r="C380" s="348"/>
      <c r="D380" s="260"/>
      <c r="E380" s="267"/>
      <c r="F380" s="260"/>
      <c r="G380" s="267">
        <f t="shared" si="7"/>
      </c>
      <c r="H380" s="41"/>
      <c r="I380" s="149"/>
      <c r="J380" s="149"/>
    </row>
    <row r="381" spans="1:10" ht="12.75">
      <c r="A381" s="224">
        <v>354092</v>
      </c>
      <c r="B381" s="9" t="s">
        <v>590</v>
      </c>
      <c r="C381" s="348"/>
      <c r="D381" s="260"/>
      <c r="E381" s="267"/>
      <c r="F381" s="260"/>
      <c r="G381" s="267">
        <f t="shared" si="7"/>
      </c>
      <c r="H381" s="41"/>
      <c r="I381" s="149"/>
      <c r="J381" s="149"/>
    </row>
    <row r="382" spans="1:10" ht="12.75">
      <c r="A382" s="224">
        <v>354095</v>
      </c>
      <c r="B382" s="9" t="s">
        <v>554</v>
      </c>
      <c r="C382" s="354"/>
      <c r="D382" s="260"/>
      <c r="E382" s="275"/>
      <c r="F382" s="260"/>
      <c r="G382" s="275">
        <f t="shared" si="7"/>
      </c>
      <c r="H382" s="41"/>
      <c r="I382" s="149"/>
      <c r="J382" s="149"/>
    </row>
    <row r="383" spans="1:10" ht="12.75">
      <c r="A383" s="224">
        <v>356520</v>
      </c>
      <c r="B383" s="12" t="s">
        <v>115</v>
      </c>
      <c r="C383" s="348"/>
      <c r="D383" s="260"/>
      <c r="E383" s="267"/>
      <c r="F383" s="260"/>
      <c r="G383" s="267">
        <f t="shared" si="7"/>
      </c>
      <c r="H383" s="41"/>
      <c r="I383" s="149"/>
      <c r="J383" s="149"/>
    </row>
    <row r="384" spans="1:10" ht="12.75">
      <c r="A384" s="224">
        <v>356530</v>
      </c>
      <c r="B384" s="9" t="s">
        <v>116</v>
      </c>
      <c r="C384" s="348"/>
      <c r="D384" s="260"/>
      <c r="E384" s="267"/>
      <c r="F384" s="260"/>
      <c r="G384" s="267">
        <f t="shared" si="7"/>
      </c>
      <c r="H384" s="41"/>
      <c r="I384" s="149"/>
      <c r="J384" s="149"/>
    </row>
    <row r="385" spans="1:10" ht="12.75">
      <c r="A385" s="224">
        <v>356532</v>
      </c>
      <c r="B385" s="12" t="s">
        <v>117</v>
      </c>
      <c r="C385" s="348"/>
      <c r="D385" s="260"/>
      <c r="E385" s="267"/>
      <c r="F385" s="260"/>
      <c r="G385" s="267">
        <f t="shared" si="7"/>
      </c>
      <c r="H385" s="41"/>
      <c r="I385" s="149"/>
      <c r="J385" s="149"/>
    </row>
    <row r="386" spans="1:10" ht="12.75">
      <c r="A386" s="224">
        <v>356534</v>
      </c>
      <c r="B386" s="9" t="s">
        <v>118</v>
      </c>
      <c r="C386" s="348"/>
      <c r="D386" s="260"/>
      <c r="E386" s="267"/>
      <c r="F386" s="260"/>
      <c r="G386" s="267">
        <f t="shared" si="7"/>
      </c>
      <c r="H386" s="41"/>
      <c r="I386" s="149"/>
      <c r="J386" s="149"/>
    </row>
    <row r="387" spans="1:10" ht="12.75">
      <c r="A387" s="224">
        <v>356540</v>
      </c>
      <c r="B387" s="9" t="s">
        <v>119</v>
      </c>
      <c r="C387" s="348"/>
      <c r="D387" s="260"/>
      <c r="E387" s="267"/>
      <c r="F387" s="260"/>
      <c r="G387" s="267">
        <f t="shared" si="7"/>
      </c>
      <c r="H387" s="41"/>
      <c r="I387" s="149"/>
      <c r="J387" s="149"/>
    </row>
    <row r="388" spans="1:10" ht="12.75">
      <c r="A388" s="224">
        <v>356542</v>
      </c>
      <c r="B388" s="9" t="s">
        <v>120</v>
      </c>
      <c r="C388" s="348"/>
      <c r="D388" s="260"/>
      <c r="E388" s="267"/>
      <c r="F388" s="260"/>
      <c r="G388" s="267">
        <f t="shared" si="7"/>
      </c>
      <c r="H388" s="41"/>
      <c r="I388" s="149"/>
      <c r="J388" s="149"/>
    </row>
    <row r="389" spans="1:10" ht="12.75">
      <c r="A389" s="224">
        <v>356543</v>
      </c>
      <c r="B389" s="9" t="s">
        <v>121</v>
      </c>
      <c r="C389" s="348"/>
      <c r="D389" s="260"/>
      <c r="E389" s="267"/>
      <c r="F389" s="260"/>
      <c r="G389" s="267">
        <f t="shared" si="7"/>
      </c>
      <c r="H389" s="41"/>
      <c r="I389" s="149"/>
      <c r="J389" s="149"/>
    </row>
    <row r="390" spans="1:10" ht="12.75">
      <c r="A390" s="224">
        <v>356545</v>
      </c>
      <c r="B390" s="9" t="s">
        <v>122</v>
      </c>
      <c r="C390" s="348"/>
      <c r="D390" s="260"/>
      <c r="E390" s="267"/>
      <c r="F390" s="260"/>
      <c r="G390" s="267">
        <f t="shared" si="7"/>
      </c>
      <c r="H390" s="41"/>
      <c r="I390" s="149"/>
      <c r="J390" s="149"/>
    </row>
    <row r="391" spans="1:10" ht="12.75">
      <c r="A391" s="224">
        <v>356550</v>
      </c>
      <c r="B391" s="9" t="s">
        <v>123</v>
      </c>
      <c r="C391" s="348"/>
      <c r="D391" s="260"/>
      <c r="E391" s="267"/>
      <c r="F391" s="260"/>
      <c r="G391" s="267">
        <f t="shared" si="7"/>
      </c>
      <c r="H391" s="41"/>
      <c r="I391" s="149"/>
      <c r="J391" s="149"/>
    </row>
    <row r="392" spans="1:10" ht="12.75">
      <c r="A392" s="224">
        <v>356560</v>
      </c>
      <c r="B392" s="9" t="s">
        <v>124</v>
      </c>
      <c r="C392" s="348"/>
      <c r="D392" s="260"/>
      <c r="E392" s="267"/>
      <c r="F392" s="260"/>
      <c r="G392" s="267">
        <f t="shared" si="7"/>
      </c>
      <c r="H392" s="41"/>
      <c r="I392" s="149"/>
      <c r="J392" s="149"/>
    </row>
    <row r="393" spans="1:10" ht="12.75">
      <c r="A393" s="224">
        <v>359010</v>
      </c>
      <c r="B393" s="9" t="s">
        <v>556</v>
      </c>
      <c r="C393" s="348"/>
      <c r="D393" s="260"/>
      <c r="E393" s="267"/>
      <c r="F393" s="260"/>
      <c r="G393" s="267">
        <f t="shared" si="7"/>
      </c>
      <c r="H393" s="41"/>
      <c r="I393" s="149"/>
      <c r="J393" s="149"/>
    </row>
    <row r="394" spans="1:10" ht="12.75">
      <c r="A394" s="224">
        <v>359011</v>
      </c>
      <c r="B394" s="9" t="s">
        <v>11</v>
      </c>
      <c r="C394" s="348"/>
      <c r="D394" s="260"/>
      <c r="E394" s="267"/>
      <c r="F394" s="260"/>
      <c r="G394" s="267">
        <f t="shared" si="7"/>
      </c>
      <c r="H394" s="41"/>
      <c r="I394" s="149"/>
      <c r="J394" s="149"/>
    </row>
    <row r="395" spans="1:10" ht="12.75">
      <c r="A395" s="224">
        <v>359027</v>
      </c>
      <c r="B395" s="9" t="s">
        <v>15</v>
      </c>
      <c r="C395" s="348"/>
      <c r="D395" s="260"/>
      <c r="E395" s="267"/>
      <c r="F395" s="260"/>
      <c r="G395" s="267">
        <f t="shared" si="7"/>
      </c>
      <c r="H395" s="41"/>
      <c r="I395" s="149"/>
      <c r="J395" s="149"/>
    </row>
    <row r="396" spans="1:10" ht="12.75">
      <c r="A396" s="224">
        <v>359050</v>
      </c>
      <c r="B396" s="9" t="s">
        <v>17</v>
      </c>
      <c r="C396" s="348"/>
      <c r="D396" s="260"/>
      <c r="E396" s="267"/>
      <c r="F396" s="260"/>
      <c r="G396" s="267">
        <f t="shared" si="7"/>
      </c>
      <c r="H396" s="41"/>
      <c r="I396" s="149"/>
      <c r="J396" s="149"/>
    </row>
    <row r="397" spans="1:10" ht="12.75">
      <c r="A397" s="224">
        <v>359052</v>
      </c>
      <c r="B397" s="9" t="s">
        <v>85</v>
      </c>
      <c r="C397" s="348"/>
      <c r="D397" s="260"/>
      <c r="E397" s="267"/>
      <c r="F397" s="260"/>
      <c r="G397" s="267">
        <f t="shared" si="7"/>
      </c>
      <c r="H397" s="41"/>
      <c r="I397" s="149"/>
      <c r="J397" s="149"/>
    </row>
    <row r="398" spans="1:10" ht="12.75">
      <c r="A398" s="224">
        <v>359053</v>
      </c>
      <c r="B398" s="9" t="s">
        <v>86</v>
      </c>
      <c r="C398" s="348"/>
      <c r="D398" s="260"/>
      <c r="E398" s="267"/>
      <c r="F398" s="260"/>
      <c r="G398" s="267">
        <f t="shared" si="7"/>
      </c>
      <c r="H398" s="41"/>
      <c r="I398" s="149"/>
      <c r="J398" s="149"/>
    </row>
    <row r="399" spans="1:10" ht="12.75">
      <c r="A399" s="224">
        <v>359054</v>
      </c>
      <c r="B399" s="9" t="s">
        <v>87</v>
      </c>
      <c r="C399" s="348"/>
      <c r="D399" s="260"/>
      <c r="E399" s="267"/>
      <c r="F399" s="260"/>
      <c r="G399" s="267">
        <f t="shared" si="7"/>
      </c>
      <c r="H399" s="41"/>
      <c r="I399" s="149"/>
      <c r="J399" s="149"/>
    </row>
    <row r="400" spans="1:10" ht="12.75">
      <c r="A400" s="224">
        <v>359064</v>
      </c>
      <c r="B400" s="9" t="s">
        <v>21</v>
      </c>
      <c r="C400" s="348"/>
      <c r="D400" s="260"/>
      <c r="E400" s="267"/>
      <c r="F400" s="260"/>
      <c r="G400" s="267">
        <f t="shared" si="7"/>
      </c>
      <c r="H400" s="41"/>
      <c r="I400" s="149"/>
      <c r="J400" s="149"/>
    </row>
    <row r="401" spans="1:10" ht="12.75">
      <c r="A401" s="224">
        <v>359069</v>
      </c>
      <c r="B401" s="218" t="s">
        <v>564</v>
      </c>
      <c r="C401" s="349"/>
      <c r="D401" s="260"/>
      <c r="E401" s="268"/>
      <c r="F401" s="260"/>
      <c r="G401" s="268">
        <f t="shared" si="7"/>
      </c>
      <c r="H401" s="41"/>
      <c r="I401" s="149"/>
      <c r="J401" s="149"/>
    </row>
    <row r="402" spans="1:10" ht="13.5" thickBot="1">
      <c r="A402" s="231" t="s">
        <v>401</v>
      </c>
      <c r="B402" s="6"/>
      <c r="C402" s="358">
        <f>SUM(C375:C401)</f>
        <v>0</v>
      </c>
      <c r="D402" s="260"/>
      <c r="E402" s="358">
        <v>0</v>
      </c>
      <c r="F402" s="260"/>
      <c r="G402" s="273">
        <f>SUM(G375:G401)</f>
        <v>0</v>
      </c>
      <c r="H402" s="41"/>
      <c r="I402" s="149"/>
      <c r="J402" s="149"/>
    </row>
    <row r="403" spans="1:10" ht="13.5" thickTop="1">
      <c r="A403" s="226"/>
      <c r="C403" s="353"/>
      <c r="E403" s="274"/>
      <c r="G403" s="274"/>
      <c r="H403" s="41"/>
      <c r="I403" s="149"/>
      <c r="J403" s="149"/>
    </row>
    <row r="404" spans="1:10" ht="15">
      <c r="A404" s="228" t="s">
        <v>524</v>
      </c>
      <c r="B404" s="2"/>
      <c r="C404" s="351"/>
      <c r="D404" s="261"/>
      <c r="E404" s="285"/>
      <c r="F404" s="261"/>
      <c r="G404" s="271"/>
      <c r="H404" s="171"/>
      <c r="I404" s="149"/>
      <c r="J404" s="149"/>
    </row>
    <row r="405" spans="1:10" ht="12.75">
      <c r="A405" s="224">
        <v>361610</v>
      </c>
      <c r="B405" s="9" t="s">
        <v>581</v>
      </c>
      <c r="C405" s="347"/>
      <c r="D405" s="260"/>
      <c r="E405" s="266"/>
      <c r="F405" s="260"/>
      <c r="G405" s="266">
        <f aca="true" t="shared" si="8" ref="G405:G470">IF(E405&lt;&gt;C405,C405-E405,"")</f>
      </c>
      <c r="H405" s="41"/>
      <c r="I405" s="149"/>
      <c r="J405" s="149"/>
    </row>
    <row r="406" spans="1:10" ht="12.75">
      <c r="A406" s="224">
        <v>361611</v>
      </c>
      <c r="B406" s="12" t="s">
        <v>583</v>
      </c>
      <c r="C406" s="348"/>
      <c r="D406" s="260"/>
      <c r="E406" s="267"/>
      <c r="F406" s="260"/>
      <c r="G406" s="267">
        <f t="shared" si="8"/>
      </c>
      <c r="H406" s="41"/>
      <c r="I406" s="149"/>
      <c r="J406" s="149"/>
    </row>
    <row r="407" spans="1:10" ht="12.75">
      <c r="A407" s="224">
        <v>361612</v>
      </c>
      <c r="B407" s="9" t="s">
        <v>125</v>
      </c>
      <c r="C407" s="348"/>
      <c r="D407" s="260"/>
      <c r="E407" s="267"/>
      <c r="F407" s="260"/>
      <c r="G407" s="267">
        <f t="shared" si="8"/>
      </c>
      <c r="H407" s="41"/>
      <c r="I407" s="149"/>
      <c r="J407" s="149"/>
    </row>
    <row r="408" spans="1:10" ht="12.75">
      <c r="A408" s="224">
        <v>361613</v>
      </c>
      <c r="B408" s="12" t="s">
        <v>126</v>
      </c>
      <c r="C408" s="348"/>
      <c r="D408" s="260"/>
      <c r="E408" s="267"/>
      <c r="F408" s="260"/>
      <c r="G408" s="267">
        <f t="shared" si="8"/>
      </c>
      <c r="H408" s="41"/>
      <c r="I408" s="149"/>
      <c r="J408" s="149"/>
    </row>
    <row r="409" spans="1:10" ht="12.75">
      <c r="A409" s="224">
        <v>361614</v>
      </c>
      <c r="B409" s="9" t="s">
        <v>739</v>
      </c>
      <c r="C409" s="348"/>
      <c r="D409" s="260"/>
      <c r="E409" s="267"/>
      <c r="F409" s="260"/>
      <c r="G409" s="267">
        <f>IF(E409&lt;&gt;C409,C409-E409,"")</f>
      </c>
      <c r="H409" s="41"/>
      <c r="I409" s="149"/>
      <c r="J409" s="149"/>
    </row>
    <row r="410" spans="1:10" ht="12.75">
      <c r="A410" s="224">
        <v>361615</v>
      </c>
      <c r="B410" s="12" t="s">
        <v>740</v>
      </c>
      <c r="C410" s="348"/>
      <c r="D410" s="260"/>
      <c r="E410" s="267"/>
      <c r="F410" s="260"/>
      <c r="G410" s="267">
        <f t="shared" si="8"/>
      </c>
      <c r="H410" s="41"/>
      <c r="I410" s="149"/>
      <c r="J410" s="149"/>
    </row>
    <row r="411" spans="1:10" ht="12.75">
      <c r="A411" s="224">
        <v>361620</v>
      </c>
      <c r="B411" s="9" t="s">
        <v>127</v>
      </c>
      <c r="C411" s="348"/>
      <c r="D411" s="260"/>
      <c r="E411" s="267"/>
      <c r="F411" s="260"/>
      <c r="G411" s="267">
        <f t="shared" si="8"/>
      </c>
      <c r="H411" s="41"/>
      <c r="I411" s="149"/>
      <c r="J411" s="149"/>
    </row>
    <row r="412" spans="1:10" ht="12.75">
      <c r="A412" s="224">
        <v>361621</v>
      </c>
      <c r="B412" s="12" t="s">
        <v>128</v>
      </c>
      <c r="C412" s="348"/>
      <c r="D412" s="260"/>
      <c r="E412" s="267"/>
      <c r="F412" s="260"/>
      <c r="G412" s="267">
        <f t="shared" si="8"/>
      </c>
      <c r="H412" s="41"/>
      <c r="I412" s="149"/>
      <c r="J412" s="149"/>
    </row>
    <row r="413" spans="1:10" ht="12.75">
      <c r="A413" s="224">
        <v>361630</v>
      </c>
      <c r="B413" s="9" t="s">
        <v>129</v>
      </c>
      <c r="C413" s="348"/>
      <c r="D413" s="260"/>
      <c r="E413" s="267"/>
      <c r="F413" s="260"/>
      <c r="G413" s="267">
        <f t="shared" si="8"/>
      </c>
      <c r="H413" s="41"/>
      <c r="I413" s="149"/>
      <c r="J413" s="149"/>
    </row>
    <row r="414" spans="1:10" ht="12.75">
      <c r="A414" s="224">
        <v>361631</v>
      </c>
      <c r="B414" s="12" t="s">
        <v>130</v>
      </c>
      <c r="C414" s="348"/>
      <c r="D414" s="260"/>
      <c r="E414" s="267"/>
      <c r="F414" s="260"/>
      <c r="G414" s="267">
        <f t="shared" si="8"/>
      </c>
      <c r="H414" s="41"/>
      <c r="I414" s="149"/>
      <c r="J414" s="149"/>
    </row>
    <row r="415" spans="1:10" ht="12.75">
      <c r="A415" s="224">
        <v>361690</v>
      </c>
      <c r="B415" s="9" t="s">
        <v>131</v>
      </c>
      <c r="C415" s="348"/>
      <c r="D415" s="260"/>
      <c r="E415" s="267"/>
      <c r="F415" s="260"/>
      <c r="G415" s="267">
        <f t="shared" si="8"/>
      </c>
      <c r="H415" s="41"/>
      <c r="I415" s="149"/>
      <c r="J415" s="149"/>
    </row>
    <row r="416" spans="1:10" ht="12.75">
      <c r="A416" s="224">
        <v>361691</v>
      </c>
      <c r="B416" s="9" t="s">
        <v>132</v>
      </c>
      <c r="C416" s="348"/>
      <c r="D416" s="260"/>
      <c r="E416" s="267"/>
      <c r="F416" s="260"/>
      <c r="G416" s="267">
        <f t="shared" si="8"/>
      </c>
      <c r="H416" s="41"/>
      <c r="I416" s="149"/>
      <c r="J416" s="149"/>
    </row>
    <row r="417" spans="1:10" ht="12.75">
      <c r="A417" s="224">
        <v>364092</v>
      </c>
      <c r="B417" s="9" t="s">
        <v>590</v>
      </c>
      <c r="C417" s="348"/>
      <c r="D417" s="260"/>
      <c r="E417" s="267"/>
      <c r="F417" s="260"/>
      <c r="G417" s="267">
        <f t="shared" si="8"/>
      </c>
      <c r="H417" s="41"/>
      <c r="I417" s="149"/>
      <c r="J417" s="149"/>
    </row>
    <row r="418" spans="1:10" ht="12.75">
      <c r="A418" s="224">
        <v>364095</v>
      </c>
      <c r="B418" s="12" t="s">
        <v>554</v>
      </c>
      <c r="C418" s="354"/>
      <c r="D418" s="260"/>
      <c r="E418" s="275"/>
      <c r="F418" s="260"/>
      <c r="G418" s="275">
        <f t="shared" si="8"/>
      </c>
      <c r="H418" s="41"/>
      <c r="I418" s="149"/>
      <c r="J418" s="149"/>
    </row>
    <row r="419" spans="1:10" ht="12.75">
      <c r="A419" s="224">
        <v>366620</v>
      </c>
      <c r="B419" s="9" t="s">
        <v>133</v>
      </c>
      <c r="C419" s="348"/>
      <c r="D419" s="260"/>
      <c r="E419" s="267"/>
      <c r="F419" s="260"/>
      <c r="G419" s="267">
        <f t="shared" si="8"/>
      </c>
      <c r="H419" s="41"/>
      <c r="I419" s="149"/>
      <c r="J419" s="149"/>
    </row>
    <row r="420" spans="1:10" ht="12.75">
      <c r="A420" s="224">
        <v>366630</v>
      </c>
      <c r="B420" s="9" t="s">
        <v>134</v>
      </c>
      <c r="C420" s="348"/>
      <c r="D420" s="260"/>
      <c r="E420" s="267"/>
      <c r="F420" s="260"/>
      <c r="G420" s="267">
        <f t="shared" si="8"/>
      </c>
      <c r="H420" s="41"/>
      <c r="I420" s="149"/>
      <c r="J420" s="149"/>
    </row>
    <row r="421" spans="1:10" ht="12.75">
      <c r="A421" s="224">
        <v>366640</v>
      </c>
      <c r="B421" s="9" t="s">
        <v>135</v>
      </c>
      <c r="C421" s="348"/>
      <c r="D421" s="260"/>
      <c r="E421" s="267"/>
      <c r="F421" s="260"/>
      <c r="G421" s="267">
        <f t="shared" si="8"/>
      </c>
      <c r="H421" s="41"/>
      <c r="I421" s="149"/>
      <c r="J421" s="149"/>
    </row>
    <row r="422" spans="1:10" ht="12.75">
      <c r="A422" s="224">
        <v>366650</v>
      </c>
      <c r="B422" s="9" t="s">
        <v>136</v>
      </c>
      <c r="C422" s="348"/>
      <c r="D422" s="260"/>
      <c r="E422" s="267"/>
      <c r="F422" s="260"/>
      <c r="G422" s="267">
        <f t="shared" si="8"/>
      </c>
      <c r="H422" s="41"/>
      <c r="I422" s="149"/>
      <c r="J422" s="149"/>
    </row>
    <row r="423" spans="1:10" ht="12.75">
      <c r="A423" s="224">
        <v>366660</v>
      </c>
      <c r="B423" s="9" t="s">
        <v>137</v>
      </c>
      <c r="C423" s="348"/>
      <c r="D423" s="260"/>
      <c r="E423" s="267"/>
      <c r="F423" s="260"/>
      <c r="G423" s="267">
        <f t="shared" si="8"/>
      </c>
      <c r="H423" s="41"/>
      <c r="I423" s="149"/>
      <c r="J423" s="149"/>
    </row>
    <row r="424" spans="1:10" ht="12.75">
      <c r="A424" s="224">
        <v>366670</v>
      </c>
      <c r="B424" s="9" t="s">
        <v>138</v>
      </c>
      <c r="C424" s="348"/>
      <c r="D424" s="260"/>
      <c r="E424" s="267"/>
      <c r="F424" s="260"/>
      <c r="G424" s="267">
        <f t="shared" si="8"/>
      </c>
      <c r="H424" s="41"/>
      <c r="I424" s="149"/>
      <c r="J424" s="149"/>
    </row>
    <row r="425" spans="1:10" ht="12.75">
      <c r="A425" s="224">
        <v>369011</v>
      </c>
      <c r="B425" s="9" t="s">
        <v>11</v>
      </c>
      <c r="C425" s="348"/>
      <c r="D425" s="260"/>
      <c r="E425" s="267"/>
      <c r="F425" s="260"/>
      <c r="G425" s="267">
        <f t="shared" si="8"/>
      </c>
      <c r="H425" s="41"/>
      <c r="I425" s="149"/>
      <c r="J425" s="149"/>
    </row>
    <row r="426" spans="1:10" ht="12.75">
      <c r="A426" s="224">
        <v>369027</v>
      </c>
      <c r="B426" s="9" t="s">
        <v>15</v>
      </c>
      <c r="C426" s="348"/>
      <c r="D426" s="260"/>
      <c r="E426" s="267"/>
      <c r="F426" s="260"/>
      <c r="G426" s="267">
        <f t="shared" si="8"/>
      </c>
      <c r="H426" s="41"/>
      <c r="I426" s="149"/>
      <c r="J426" s="149"/>
    </row>
    <row r="427" spans="1:10" ht="12.75">
      <c r="A427" s="224">
        <v>369040</v>
      </c>
      <c r="B427" s="9" t="s">
        <v>769</v>
      </c>
      <c r="C427" s="348"/>
      <c r="D427" s="260"/>
      <c r="E427" s="267"/>
      <c r="F427" s="260"/>
      <c r="G427" s="267">
        <f t="shared" si="8"/>
      </c>
      <c r="H427" s="41"/>
      <c r="I427" s="149"/>
      <c r="J427" s="149"/>
    </row>
    <row r="428" spans="1:10" ht="12.75">
      <c r="A428" s="224">
        <v>369050</v>
      </c>
      <c r="B428" s="9" t="s">
        <v>17</v>
      </c>
      <c r="C428" s="348"/>
      <c r="D428" s="260"/>
      <c r="E428" s="267"/>
      <c r="F428" s="260"/>
      <c r="G428" s="267">
        <f t="shared" si="8"/>
      </c>
      <c r="H428" s="41"/>
      <c r="I428" s="149"/>
      <c r="J428" s="149"/>
    </row>
    <row r="429" spans="1:10" ht="12.75">
      <c r="A429" s="224">
        <v>369052</v>
      </c>
      <c r="B429" s="9" t="s">
        <v>85</v>
      </c>
      <c r="C429" s="348"/>
      <c r="D429" s="260"/>
      <c r="E429" s="267"/>
      <c r="F429" s="260"/>
      <c r="G429" s="267">
        <f t="shared" si="8"/>
      </c>
      <c r="H429" s="41"/>
      <c r="I429" s="149"/>
      <c r="J429" s="149"/>
    </row>
    <row r="430" spans="1:10" ht="12.75">
      <c r="A430" s="224">
        <v>369053</v>
      </c>
      <c r="B430" s="9" t="s">
        <v>86</v>
      </c>
      <c r="C430" s="348"/>
      <c r="D430" s="260"/>
      <c r="E430" s="267"/>
      <c r="F430" s="260"/>
      <c r="G430" s="267">
        <f t="shared" si="8"/>
      </c>
      <c r="H430" s="41"/>
      <c r="I430" s="149"/>
      <c r="J430" s="149"/>
    </row>
    <row r="431" spans="1:10" ht="12.75">
      <c r="A431" s="224">
        <v>369054</v>
      </c>
      <c r="B431" s="9" t="s">
        <v>87</v>
      </c>
      <c r="C431" s="348"/>
      <c r="D431" s="260"/>
      <c r="E431" s="267"/>
      <c r="F431" s="260"/>
      <c r="G431" s="267">
        <f t="shared" si="8"/>
      </c>
      <c r="H431" s="41"/>
      <c r="I431" s="149"/>
      <c r="J431" s="149"/>
    </row>
    <row r="432" spans="1:10" ht="12.75">
      <c r="A432" s="224">
        <v>369060</v>
      </c>
      <c r="B432" s="9" t="s">
        <v>562</v>
      </c>
      <c r="C432" s="348"/>
      <c r="D432" s="260"/>
      <c r="E432" s="267"/>
      <c r="F432" s="260"/>
      <c r="G432" s="267">
        <f t="shared" si="8"/>
      </c>
      <c r="H432" s="41"/>
      <c r="I432" s="149"/>
      <c r="J432" s="149"/>
    </row>
    <row r="433" spans="1:10" ht="12.75">
      <c r="A433" s="224">
        <v>369064</v>
      </c>
      <c r="B433" s="9" t="s">
        <v>21</v>
      </c>
      <c r="C433" s="348"/>
      <c r="D433" s="260"/>
      <c r="E433" s="267"/>
      <c r="F433" s="260"/>
      <c r="G433" s="267">
        <f t="shared" si="8"/>
      </c>
      <c r="H433" s="41"/>
      <c r="I433" s="149"/>
      <c r="J433" s="149"/>
    </row>
    <row r="434" spans="1:10" ht="12.75">
      <c r="A434" s="224">
        <v>369069</v>
      </c>
      <c r="B434" s="218" t="s">
        <v>564</v>
      </c>
      <c r="C434" s="349"/>
      <c r="D434" s="260"/>
      <c r="E434" s="268"/>
      <c r="F434" s="260"/>
      <c r="G434" s="268">
        <f t="shared" si="8"/>
      </c>
      <c r="H434" s="41"/>
      <c r="I434" s="149"/>
      <c r="J434" s="149"/>
    </row>
    <row r="435" spans="1:10" ht="13.5" thickBot="1">
      <c r="A435" s="231" t="s">
        <v>401</v>
      </c>
      <c r="B435" s="6"/>
      <c r="C435" s="358">
        <f>SUM(C405:C434)</f>
        <v>0</v>
      </c>
      <c r="D435" s="260"/>
      <c r="E435" s="358">
        <v>0</v>
      </c>
      <c r="F435" s="260"/>
      <c r="G435" s="273">
        <f>SUM(G405:G434)</f>
        <v>0</v>
      </c>
      <c r="H435" s="41"/>
      <c r="I435" s="149"/>
      <c r="J435" s="149"/>
    </row>
    <row r="436" spans="1:10" ht="13.5" thickTop="1">
      <c r="A436" s="226"/>
      <c r="C436" s="353"/>
      <c r="E436" s="274"/>
      <c r="G436" s="274">
        <f t="shared" si="8"/>
      </c>
      <c r="H436" s="41"/>
      <c r="I436" s="149"/>
      <c r="J436" s="149"/>
    </row>
    <row r="437" spans="1:10" ht="15">
      <c r="A437" s="228" t="s">
        <v>525</v>
      </c>
      <c r="B437" s="2"/>
      <c r="C437" s="351"/>
      <c r="D437" s="261"/>
      <c r="E437" s="285"/>
      <c r="F437" s="261"/>
      <c r="G437" s="271"/>
      <c r="H437" s="171"/>
      <c r="I437" s="149"/>
      <c r="J437" s="149"/>
    </row>
    <row r="438" spans="1:10" ht="12.75">
      <c r="A438" s="224">
        <v>371710</v>
      </c>
      <c r="B438" s="9" t="s">
        <v>142</v>
      </c>
      <c r="C438" s="347"/>
      <c r="D438" s="260"/>
      <c r="E438" s="266"/>
      <c r="F438" s="260"/>
      <c r="G438" s="266">
        <f t="shared" si="8"/>
      </c>
      <c r="H438" s="41"/>
      <c r="I438" s="149"/>
      <c r="J438" s="149"/>
    </row>
    <row r="439" spans="1:10" ht="12.75">
      <c r="A439" s="224">
        <v>371711</v>
      </c>
      <c r="B439" s="9" t="s">
        <v>143</v>
      </c>
      <c r="C439" s="348"/>
      <c r="D439" s="260"/>
      <c r="E439" s="267"/>
      <c r="F439" s="260"/>
      <c r="G439" s="267">
        <f t="shared" si="8"/>
      </c>
      <c r="H439" s="41"/>
      <c r="I439" s="149"/>
      <c r="J439" s="149"/>
    </row>
    <row r="440" spans="1:10" ht="12.75">
      <c r="A440" s="224">
        <v>371712</v>
      </c>
      <c r="B440" s="9" t="s">
        <v>741</v>
      </c>
      <c r="C440" s="348"/>
      <c r="D440" s="260"/>
      <c r="E440" s="267"/>
      <c r="F440" s="260"/>
      <c r="G440" s="267">
        <f t="shared" si="8"/>
      </c>
      <c r="H440" s="41"/>
      <c r="I440" s="149"/>
      <c r="J440" s="149"/>
    </row>
    <row r="441" spans="1:10" ht="12.75">
      <c r="A441" s="224">
        <v>371713</v>
      </c>
      <c r="B441" s="12" t="s">
        <v>742</v>
      </c>
      <c r="C441" s="348"/>
      <c r="D441" s="260"/>
      <c r="E441" s="267"/>
      <c r="F441" s="260"/>
      <c r="G441" s="267">
        <f t="shared" si="8"/>
      </c>
      <c r="H441" s="41"/>
      <c r="I441" s="149"/>
      <c r="J441" s="149"/>
    </row>
    <row r="442" spans="1:10" ht="12.75">
      <c r="A442" s="224">
        <v>371714</v>
      </c>
      <c r="B442" s="9" t="s">
        <v>144</v>
      </c>
      <c r="C442" s="348"/>
      <c r="D442" s="260"/>
      <c r="E442" s="267"/>
      <c r="F442" s="260"/>
      <c r="G442" s="267">
        <f t="shared" si="8"/>
      </c>
      <c r="H442" s="41"/>
      <c r="I442" s="149"/>
      <c r="J442" s="149"/>
    </row>
    <row r="443" spans="1:10" ht="12.75">
      <c r="A443" s="224">
        <v>371715</v>
      </c>
      <c r="B443" s="12" t="s">
        <v>145</v>
      </c>
      <c r="C443" s="348"/>
      <c r="D443" s="260"/>
      <c r="E443" s="267"/>
      <c r="F443" s="260"/>
      <c r="G443" s="267">
        <f t="shared" si="8"/>
      </c>
      <c r="H443" s="41"/>
      <c r="I443" s="149"/>
      <c r="J443" s="149"/>
    </row>
    <row r="444" spans="1:10" ht="12.75">
      <c r="A444" s="224">
        <v>371720</v>
      </c>
      <c r="B444" s="9" t="s">
        <v>146</v>
      </c>
      <c r="C444" s="348"/>
      <c r="D444" s="260"/>
      <c r="E444" s="267"/>
      <c r="F444" s="260"/>
      <c r="G444" s="267">
        <f t="shared" si="8"/>
      </c>
      <c r="H444" s="41"/>
      <c r="I444" s="149"/>
      <c r="J444" s="149"/>
    </row>
    <row r="445" spans="1:10" ht="12.75">
      <c r="A445" s="224">
        <v>371721</v>
      </c>
      <c r="B445" s="12" t="s">
        <v>147</v>
      </c>
      <c r="C445" s="348"/>
      <c r="D445" s="260"/>
      <c r="E445" s="267"/>
      <c r="F445" s="260"/>
      <c r="G445" s="267">
        <f t="shared" si="8"/>
      </c>
      <c r="H445" s="41"/>
      <c r="I445" s="149"/>
      <c r="J445" s="149"/>
    </row>
    <row r="446" spans="1:10" ht="12.75">
      <c r="A446" s="224">
        <v>371730</v>
      </c>
      <c r="B446" s="9" t="s">
        <v>148</v>
      </c>
      <c r="C446" s="348"/>
      <c r="D446" s="260"/>
      <c r="E446" s="267"/>
      <c r="F446" s="260"/>
      <c r="G446" s="267">
        <f t="shared" si="8"/>
      </c>
      <c r="H446" s="41"/>
      <c r="I446" s="149"/>
      <c r="J446" s="149"/>
    </row>
    <row r="447" spans="1:10" ht="12.75">
      <c r="A447" s="224">
        <v>371731</v>
      </c>
      <c r="B447" s="12" t="s">
        <v>149</v>
      </c>
      <c r="C447" s="348"/>
      <c r="D447" s="260"/>
      <c r="E447" s="267"/>
      <c r="F447" s="260"/>
      <c r="G447" s="267">
        <f t="shared" si="8"/>
      </c>
      <c r="H447" s="41"/>
      <c r="I447" s="149"/>
      <c r="J447" s="149"/>
    </row>
    <row r="448" spans="1:10" ht="12.75">
      <c r="A448" s="224">
        <v>371740</v>
      </c>
      <c r="B448" s="9" t="s">
        <v>150</v>
      </c>
      <c r="C448" s="348"/>
      <c r="D448" s="260"/>
      <c r="E448" s="267"/>
      <c r="F448" s="260"/>
      <c r="G448" s="267">
        <f t="shared" si="8"/>
      </c>
      <c r="H448" s="41"/>
      <c r="I448" s="149"/>
      <c r="J448" s="149"/>
    </row>
    <row r="449" spans="1:10" ht="12.75">
      <c r="A449" s="224">
        <v>371741</v>
      </c>
      <c r="B449" s="12" t="s">
        <v>151</v>
      </c>
      <c r="C449" s="348"/>
      <c r="D449" s="260"/>
      <c r="E449" s="267"/>
      <c r="F449" s="260"/>
      <c r="G449" s="267">
        <f t="shared" si="8"/>
      </c>
      <c r="H449" s="41"/>
      <c r="I449" s="149"/>
      <c r="J449" s="149"/>
    </row>
    <row r="450" spans="1:10" ht="12.75">
      <c r="A450" s="224">
        <v>371790</v>
      </c>
      <c r="B450" s="9" t="s">
        <v>152</v>
      </c>
      <c r="C450" s="348"/>
      <c r="D450" s="260"/>
      <c r="E450" s="267"/>
      <c r="F450" s="260"/>
      <c r="G450" s="267">
        <f t="shared" si="8"/>
      </c>
      <c r="H450" s="41"/>
      <c r="I450" s="149"/>
      <c r="J450" s="149"/>
    </row>
    <row r="451" spans="1:10" ht="12.75">
      <c r="A451" s="224">
        <v>371791</v>
      </c>
      <c r="B451" s="9" t="s">
        <v>153</v>
      </c>
      <c r="C451" s="348"/>
      <c r="D451" s="260"/>
      <c r="E451" s="267"/>
      <c r="F451" s="260"/>
      <c r="G451" s="267">
        <f t="shared" si="8"/>
      </c>
      <c r="H451" s="41"/>
      <c r="I451" s="149"/>
      <c r="J451" s="149"/>
    </row>
    <row r="452" spans="1:10" ht="12.75">
      <c r="A452" s="224">
        <v>374092</v>
      </c>
      <c r="B452" s="9" t="s">
        <v>590</v>
      </c>
      <c r="C452" s="348"/>
      <c r="D452" s="260"/>
      <c r="E452" s="267"/>
      <c r="F452" s="260"/>
      <c r="G452" s="267">
        <f t="shared" si="8"/>
      </c>
      <c r="H452" s="41"/>
      <c r="I452" s="149"/>
      <c r="J452" s="149"/>
    </row>
    <row r="453" spans="1:10" ht="12.75">
      <c r="A453" s="224">
        <v>374095</v>
      </c>
      <c r="B453" s="12" t="s">
        <v>554</v>
      </c>
      <c r="C453" s="354"/>
      <c r="D453" s="260"/>
      <c r="E453" s="275"/>
      <c r="F453" s="260"/>
      <c r="G453" s="275">
        <f t="shared" si="8"/>
      </c>
      <c r="H453" s="41"/>
      <c r="I453" s="149"/>
      <c r="J453" s="149"/>
    </row>
    <row r="454" spans="1:10" ht="12.75">
      <c r="A454" s="224">
        <v>376720</v>
      </c>
      <c r="B454" s="9" t="s">
        <v>154</v>
      </c>
      <c r="C454" s="348"/>
      <c r="D454" s="260"/>
      <c r="E454" s="267"/>
      <c r="F454" s="260"/>
      <c r="G454" s="267">
        <f t="shared" si="8"/>
      </c>
      <c r="H454" s="41"/>
      <c r="I454" s="149"/>
      <c r="J454" s="149"/>
    </row>
    <row r="455" spans="1:10" ht="12.75">
      <c r="A455" s="224">
        <v>376730</v>
      </c>
      <c r="B455" s="9" t="s">
        <v>155</v>
      </c>
      <c r="C455" s="348"/>
      <c r="D455" s="260"/>
      <c r="E455" s="267"/>
      <c r="F455" s="260"/>
      <c r="G455" s="267">
        <f t="shared" si="8"/>
      </c>
      <c r="H455" s="41"/>
      <c r="I455" s="149"/>
      <c r="J455" s="149"/>
    </row>
    <row r="456" spans="1:10" ht="12.75">
      <c r="A456" s="224">
        <v>376740</v>
      </c>
      <c r="B456" s="9" t="s">
        <v>156</v>
      </c>
      <c r="C456" s="348"/>
      <c r="D456" s="260"/>
      <c r="E456" s="267"/>
      <c r="F456" s="260"/>
      <c r="G456" s="267">
        <f t="shared" si="8"/>
      </c>
      <c r="H456" s="41"/>
      <c r="I456" s="149"/>
      <c r="J456" s="149"/>
    </row>
    <row r="457" spans="1:10" ht="12.75">
      <c r="A457" s="224">
        <v>376770</v>
      </c>
      <c r="B457" s="9" t="s">
        <v>157</v>
      </c>
      <c r="C457" s="348"/>
      <c r="D457" s="260"/>
      <c r="E457" s="267"/>
      <c r="F457" s="260"/>
      <c r="G457" s="267">
        <f t="shared" si="8"/>
      </c>
      <c r="H457" s="41"/>
      <c r="I457" s="149"/>
      <c r="J457" s="149"/>
    </row>
    <row r="458" spans="1:10" ht="12.75">
      <c r="A458" s="224">
        <v>376771</v>
      </c>
      <c r="B458" s="9" t="s">
        <v>158</v>
      </c>
      <c r="C458" s="348"/>
      <c r="D458" s="260"/>
      <c r="E458" s="267"/>
      <c r="F458" s="260"/>
      <c r="G458" s="267">
        <f t="shared" si="8"/>
      </c>
      <c r="H458" s="41"/>
      <c r="I458" s="149"/>
      <c r="J458" s="149"/>
    </row>
    <row r="459" spans="1:10" ht="12.75">
      <c r="A459" s="224">
        <v>379011</v>
      </c>
      <c r="B459" s="9" t="s">
        <v>11</v>
      </c>
      <c r="C459" s="348"/>
      <c r="D459" s="260"/>
      <c r="E459" s="267"/>
      <c r="F459" s="260"/>
      <c r="G459" s="267">
        <f t="shared" si="8"/>
      </c>
      <c r="H459" s="41"/>
      <c r="I459" s="149"/>
      <c r="J459" s="149"/>
    </row>
    <row r="460" spans="1:10" ht="12.75">
      <c r="A460" s="224">
        <v>379027</v>
      </c>
      <c r="B460" s="9" t="s">
        <v>15</v>
      </c>
      <c r="C460" s="348"/>
      <c r="D460" s="260"/>
      <c r="E460" s="267"/>
      <c r="F460" s="260"/>
      <c r="G460" s="267">
        <f t="shared" si="8"/>
      </c>
      <c r="H460" s="41"/>
      <c r="I460" s="149"/>
      <c r="J460" s="149"/>
    </row>
    <row r="461" spans="1:10" ht="12.75">
      <c r="A461" s="224">
        <v>379040</v>
      </c>
      <c r="B461" s="9" t="s">
        <v>769</v>
      </c>
      <c r="C461" s="348"/>
      <c r="D461" s="260"/>
      <c r="E461" s="267"/>
      <c r="F461" s="260"/>
      <c r="G461" s="267">
        <f t="shared" si="8"/>
      </c>
      <c r="H461" s="41"/>
      <c r="I461" s="149"/>
      <c r="J461" s="149"/>
    </row>
    <row r="462" spans="1:10" ht="12.75">
      <c r="A462" s="224">
        <v>379050</v>
      </c>
      <c r="B462" s="9" t="s">
        <v>17</v>
      </c>
      <c r="C462" s="348"/>
      <c r="D462" s="260"/>
      <c r="E462" s="267"/>
      <c r="F462" s="260"/>
      <c r="G462" s="267">
        <f t="shared" si="8"/>
      </c>
      <c r="H462" s="41"/>
      <c r="I462" s="149"/>
      <c r="J462" s="149"/>
    </row>
    <row r="463" spans="1:10" ht="12.75">
      <c r="A463" s="224">
        <v>379052</v>
      </c>
      <c r="B463" s="9" t="s">
        <v>85</v>
      </c>
      <c r="C463" s="348"/>
      <c r="D463" s="260"/>
      <c r="E463" s="267"/>
      <c r="F463" s="260"/>
      <c r="G463" s="267">
        <f t="shared" si="8"/>
      </c>
      <c r="H463" s="41"/>
      <c r="I463" s="149"/>
      <c r="J463" s="149"/>
    </row>
    <row r="464" spans="1:10" ht="12.75">
      <c r="A464" s="224">
        <v>379053</v>
      </c>
      <c r="B464" s="9" t="s">
        <v>86</v>
      </c>
      <c r="C464" s="348"/>
      <c r="D464" s="260"/>
      <c r="E464" s="267"/>
      <c r="F464" s="260"/>
      <c r="G464" s="267">
        <f t="shared" si="8"/>
      </c>
      <c r="H464" s="41"/>
      <c r="I464" s="149"/>
      <c r="J464" s="149"/>
    </row>
    <row r="465" spans="1:10" ht="12.75">
      <c r="A465" s="224">
        <v>379054</v>
      </c>
      <c r="B465" s="9" t="s">
        <v>87</v>
      </c>
      <c r="C465" s="348"/>
      <c r="D465" s="260"/>
      <c r="E465" s="267"/>
      <c r="F465" s="260"/>
      <c r="G465" s="267">
        <f t="shared" si="8"/>
      </c>
      <c r="H465" s="41"/>
      <c r="I465" s="149"/>
      <c r="J465" s="149"/>
    </row>
    <row r="466" spans="1:10" ht="12.75">
      <c r="A466" s="224">
        <v>379060</v>
      </c>
      <c r="B466" s="9" t="s">
        <v>562</v>
      </c>
      <c r="C466" s="348"/>
      <c r="D466" s="260"/>
      <c r="E466" s="267"/>
      <c r="F466" s="260"/>
      <c r="G466" s="267">
        <f t="shared" si="8"/>
      </c>
      <c r="H466" s="41"/>
      <c r="I466" s="149"/>
      <c r="J466" s="149"/>
    </row>
    <row r="467" spans="1:10" ht="12.75">
      <c r="A467" s="224">
        <v>379064</v>
      </c>
      <c r="B467" s="9" t="s">
        <v>21</v>
      </c>
      <c r="C467" s="348"/>
      <c r="D467" s="260"/>
      <c r="E467" s="267"/>
      <c r="F467" s="260"/>
      <c r="G467" s="267">
        <f t="shared" si="8"/>
      </c>
      <c r="H467" s="41"/>
      <c r="I467" s="149"/>
      <c r="J467" s="149"/>
    </row>
    <row r="468" spans="1:10" ht="12.75">
      <c r="A468" s="224">
        <v>379069</v>
      </c>
      <c r="B468" s="218" t="s">
        <v>564</v>
      </c>
      <c r="C468" s="349"/>
      <c r="D468" s="260"/>
      <c r="E468" s="268"/>
      <c r="F468" s="260"/>
      <c r="G468" s="268">
        <f t="shared" si="8"/>
      </c>
      <c r="H468" s="41"/>
      <c r="I468" s="149"/>
      <c r="J468" s="149"/>
    </row>
    <row r="469" spans="1:10" ht="13.5" thickBot="1">
      <c r="A469" s="231" t="s">
        <v>401</v>
      </c>
      <c r="B469" s="6"/>
      <c r="C469" s="358">
        <f>SUM(C438:C468)</f>
        <v>0</v>
      </c>
      <c r="D469" s="260"/>
      <c r="E469" s="358">
        <v>0</v>
      </c>
      <c r="F469" s="260"/>
      <c r="G469" s="273">
        <f>SUM(G438:G468)</f>
        <v>0</v>
      </c>
      <c r="H469" s="41"/>
      <c r="I469" s="149"/>
      <c r="J469" s="149"/>
    </row>
    <row r="470" spans="1:10" ht="13.5" thickTop="1">
      <c r="A470" s="226"/>
      <c r="C470" s="353"/>
      <c r="E470" s="274"/>
      <c r="G470" s="274">
        <f t="shared" si="8"/>
      </c>
      <c r="H470" s="41"/>
      <c r="I470" s="149"/>
      <c r="J470" s="149"/>
    </row>
    <row r="471" spans="1:10" ht="15">
      <c r="A471" s="228" t="s">
        <v>526</v>
      </c>
      <c r="B471" s="2"/>
      <c r="C471" s="351"/>
      <c r="D471" s="261"/>
      <c r="E471" s="285"/>
      <c r="F471" s="261"/>
      <c r="G471" s="271"/>
      <c r="H471" s="171"/>
      <c r="I471" s="149"/>
      <c r="J471" s="149"/>
    </row>
    <row r="472" spans="1:10" ht="12.75">
      <c r="A472" s="224">
        <v>381810</v>
      </c>
      <c r="B472" s="9" t="s">
        <v>584</v>
      </c>
      <c r="C472" s="347"/>
      <c r="D472" s="260"/>
      <c r="E472" s="266"/>
      <c r="F472" s="260"/>
      <c r="G472" s="266">
        <f aca="true" t="shared" si="9" ref="G472:G535">IF(E472&lt;&gt;C472,C472-E472,"")</f>
      </c>
      <c r="H472" s="41"/>
      <c r="I472" s="149"/>
      <c r="J472" s="149"/>
    </row>
    <row r="473" spans="1:10" ht="12.75">
      <c r="A473" s="224">
        <v>381811</v>
      </c>
      <c r="B473" s="12" t="s">
        <v>585</v>
      </c>
      <c r="C473" s="348"/>
      <c r="D473" s="260"/>
      <c r="E473" s="267"/>
      <c r="F473" s="260"/>
      <c r="G473" s="267">
        <f t="shared" si="9"/>
      </c>
      <c r="H473" s="41"/>
      <c r="I473" s="149"/>
      <c r="J473" s="149"/>
    </row>
    <row r="474" spans="1:10" ht="12.75">
      <c r="A474" s="224">
        <v>381812</v>
      </c>
      <c r="B474" s="9" t="s">
        <v>159</v>
      </c>
      <c r="C474" s="348"/>
      <c r="D474" s="260"/>
      <c r="E474" s="267"/>
      <c r="F474" s="260"/>
      <c r="G474" s="267">
        <f t="shared" si="9"/>
      </c>
      <c r="H474" s="41"/>
      <c r="I474" s="149"/>
      <c r="J474" s="149"/>
    </row>
    <row r="475" spans="1:10" ht="12.75">
      <c r="A475" s="224">
        <v>381813</v>
      </c>
      <c r="B475" s="12" t="s">
        <v>160</v>
      </c>
      <c r="C475" s="348"/>
      <c r="D475" s="260"/>
      <c r="E475" s="267"/>
      <c r="F475" s="260"/>
      <c r="G475" s="267">
        <f t="shared" si="9"/>
      </c>
      <c r="H475" s="41"/>
      <c r="I475" s="149"/>
      <c r="J475" s="149"/>
    </row>
    <row r="476" spans="1:10" ht="12.75">
      <c r="A476" s="224">
        <v>381814</v>
      </c>
      <c r="B476" s="9" t="s">
        <v>161</v>
      </c>
      <c r="C476" s="348"/>
      <c r="D476" s="260"/>
      <c r="E476" s="267"/>
      <c r="F476" s="260"/>
      <c r="G476" s="267">
        <f t="shared" si="9"/>
      </c>
      <c r="H476" s="41"/>
      <c r="I476" s="149"/>
      <c r="J476" s="149"/>
    </row>
    <row r="477" spans="1:10" ht="12.75">
      <c r="A477" s="224">
        <v>381815</v>
      </c>
      <c r="B477" s="12" t="s">
        <v>162</v>
      </c>
      <c r="C477" s="348"/>
      <c r="D477" s="260"/>
      <c r="E477" s="267"/>
      <c r="F477" s="260"/>
      <c r="G477" s="267">
        <f t="shared" si="9"/>
      </c>
      <c r="H477" s="41"/>
      <c r="I477" s="149"/>
      <c r="J477" s="149"/>
    </row>
    <row r="478" spans="1:10" ht="12.75">
      <c r="A478" s="224">
        <v>381816</v>
      </c>
      <c r="B478" s="9" t="s">
        <v>163</v>
      </c>
      <c r="C478" s="348"/>
      <c r="D478" s="260"/>
      <c r="E478" s="267"/>
      <c r="F478" s="260"/>
      <c r="G478" s="267">
        <f t="shared" si="9"/>
      </c>
      <c r="H478" s="41"/>
      <c r="I478" s="149"/>
      <c r="J478" s="149"/>
    </row>
    <row r="479" spans="1:10" ht="12.75">
      <c r="A479" s="224">
        <v>381817</v>
      </c>
      <c r="B479" s="12" t="s">
        <v>164</v>
      </c>
      <c r="C479" s="348"/>
      <c r="D479" s="260"/>
      <c r="E479" s="267"/>
      <c r="F479" s="260"/>
      <c r="G479" s="267">
        <f t="shared" si="9"/>
      </c>
      <c r="H479" s="41"/>
      <c r="I479" s="149"/>
      <c r="J479" s="149"/>
    </row>
    <row r="480" spans="1:10" ht="12.75">
      <c r="A480" s="224">
        <v>381820</v>
      </c>
      <c r="B480" s="9" t="s">
        <v>165</v>
      </c>
      <c r="C480" s="348"/>
      <c r="D480" s="260"/>
      <c r="E480" s="267"/>
      <c r="F480" s="260"/>
      <c r="G480" s="267">
        <f t="shared" si="9"/>
      </c>
      <c r="H480" s="41"/>
      <c r="I480" s="149"/>
      <c r="J480" s="149"/>
    </row>
    <row r="481" spans="1:10" ht="12.75">
      <c r="A481" s="224">
        <v>381821</v>
      </c>
      <c r="B481" s="9" t="s">
        <v>166</v>
      </c>
      <c r="C481" s="348"/>
      <c r="D481" s="260"/>
      <c r="E481" s="267"/>
      <c r="F481" s="260"/>
      <c r="G481" s="267">
        <f t="shared" si="9"/>
      </c>
      <c r="H481" s="41"/>
      <c r="I481" s="149"/>
      <c r="J481" s="149"/>
    </row>
    <row r="482" spans="1:10" ht="12.75">
      <c r="A482" s="224">
        <v>381830</v>
      </c>
      <c r="B482" s="9" t="s">
        <v>167</v>
      </c>
      <c r="C482" s="348"/>
      <c r="D482" s="260"/>
      <c r="E482" s="267"/>
      <c r="F482" s="260"/>
      <c r="G482" s="267">
        <f t="shared" si="9"/>
      </c>
      <c r="H482" s="41"/>
      <c r="I482" s="149"/>
      <c r="J482" s="149"/>
    </row>
    <row r="483" spans="1:10" ht="12.75">
      <c r="A483" s="224">
        <v>381831</v>
      </c>
      <c r="B483" s="9" t="s">
        <v>168</v>
      </c>
      <c r="C483" s="348"/>
      <c r="D483" s="260"/>
      <c r="E483" s="267"/>
      <c r="F483" s="260"/>
      <c r="G483" s="267">
        <f t="shared" si="9"/>
      </c>
      <c r="H483" s="41"/>
      <c r="I483" s="149"/>
      <c r="J483" s="149"/>
    </row>
    <row r="484" spans="1:10" ht="12.75">
      <c r="A484" s="224">
        <v>381832</v>
      </c>
      <c r="B484" s="9" t="s">
        <v>169</v>
      </c>
      <c r="C484" s="348"/>
      <c r="D484" s="260"/>
      <c r="E484" s="267"/>
      <c r="F484" s="260"/>
      <c r="G484" s="267">
        <f t="shared" si="9"/>
      </c>
      <c r="H484" s="41"/>
      <c r="I484" s="149"/>
      <c r="J484" s="149"/>
    </row>
    <row r="485" spans="1:10" ht="12.75">
      <c r="A485" s="224">
        <v>381833</v>
      </c>
      <c r="B485" s="9" t="s">
        <v>170</v>
      </c>
      <c r="C485" s="348"/>
      <c r="D485" s="260"/>
      <c r="E485" s="267"/>
      <c r="F485" s="260"/>
      <c r="G485" s="267">
        <f t="shared" si="9"/>
      </c>
      <c r="H485" s="41"/>
      <c r="I485" s="149"/>
      <c r="J485" s="149"/>
    </row>
    <row r="486" spans="1:10" ht="12.75">
      <c r="A486" s="224">
        <v>381834</v>
      </c>
      <c r="B486" s="9" t="s">
        <v>776</v>
      </c>
      <c r="C486" s="348"/>
      <c r="D486" s="260"/>
      <c r="E486" s="267"/>
      <c r="F486" s="260"/>
      <c r="G486" s="267">
        <f>IF(E486&lt;&gt;C486,C486-E486,"")</f>
      </c>
      <c r="H486" s="41"/>
      <c r="I486" s="149"/>
      <c r="J486" s="149"/>
    </row>
    <row r="487" spans="1:10" ht="12.75">
      <c r="A487" s="224">
        <v>381835</v>
      </c>
      <c r="B487" s="9" t="s">
        <v>777</v>
      </c>
      <c r="C487" s="348"/>
      <c r="D487" s="260"/>
      <c r="E487" s="267"/>
      <c r="F487" s="260"/>
      <c r="G487" s="267">
        <f>IF(E487&lt;&gt;C487,C487-E487,"")</f>
      </c>
      <c r="H487" s="41"/>
      <c r="I487" s="149"/>
      <c r="J487" s="149"/>
    </row>
    <row r="488" spans="1:10" ht="12.75">
      <c r="A488" s="224">
        <v>381890</v>
      </c>
      <c r="B488" s="12" t="s">
        <v>409</v>
      </c>
      <c r="C488" s="348"/>
      <c r="D488" s="260"/>
      <c r="E488" s="267"/>
      <c r="F488" s="260"/>
      <c r="G488" s="267">
        <f t="shared" si="9"/>
      </c>
      <c r="H488" s="41"/>
      <c r="I488" s="149"/>
      <c r="J488" s="149"/>
    </row>
    <row r="489" spans="1:10" ht="12.75">
      <c r="A489" s="224">
        <v>381891</v>
      </c>
      <c r="B489" s="9" t="s">
        <v>410</v>
      </c>
      <c r="C489" s="348"/>
      <c r="D489" s="260"/>
      <c r="E489" s="267"/>
      <c r="F489" s="260"/>
      <c r="G489" s="267">
        <f t="shared" si="9"/>
      </c>
      <c r="H489" s="41"/>
      <c r="I489" s="149"/>
      <c r="J489" s="149"/>
    </row>
    <row r="490" spans="1:10" ht="12.75">
      <c r="A490" s="224">
        <v>383722</v>
      </c>
      <c r="B490" s="9" t="s">
        <v>385</v>
      </c>
      <c r="C490" s="348"/>
      <c r="D490" s="260"/>
      <c r="E490" s="267"/>
      <c r="F490" s="260"/>
      <c r="G490" s="267">
        <f t="shared" si="9"/>
      </c>
      <c r="H490" s="41"/>
      <c r="I490" s="149"/>
      <c r="J490" s="149"/>
    </row>
    <row r="491" spans="1:10" ht="12.75">
      <c r="A491" s="224">
        <v>383723</v>
      </c>
      <c r="B491" s="12" t="s">
        <v>386</v>
      </c>
      <c r="C491" s="348"/>
      <c r="D491" s="260"/>
      <c r="E491" s="267"/>
      <c r="F491" s="260"/>
      <c r="G491" s="267">
        <f t="shared" si="9"/>
      </c>
      <c r="H491" s="41"/>
      <c r="I491" s="149"/>
      <c r="J491" s="149"/>
    </row>
    <row r="492" spans="1:10" ht="12.75">
      <c r="A492" s="224">
        <v>384092</v>
      </c>
      <c r="B492" s="12" t="s">
        <v>590</v>
      </c>
      <c r="C492" s="348"/>
      <c r="D492" s="260"/>
      <c r="E492" s="267"/>
      <c r="F492" s="260"/>
      <c r="G492" s="267">
        <f t="shared" si="9"/>
      </c>
      <c r="H492" s="41"/>
      <c r="I492" s="149"/>
      <c r="J492" s="149"/>
    </row>
    <row r="493" spans="1:10" ht="12.75">
      <c r="A493" s="224">
        <v>384095</v>
      </c>
      <c r="B493" s="9" t="s">
        <v>554</v>
      </c>
      <c r="C493" s="354"/>
      <c r="D493" s="260"/>
      <c r="E493" s="275"/>
      <c r="F493" s="260"/>
      <c r="G493" s="275">
        <f t="shared" si="9"/>
      </c>
      <c r="H493" s="41"/>
      <c r="I493" s="149"/>
      <c r="J493" s="149"/>
    </row>
    <row r="494" spans="1:10" ht="12.75">
      <c r="A494" s="224">
        <v>386810</v>
      </c>
      <c r="B494" s="12" t="s">
        <v>172</v>
      </c>
      <c r="C494" s="348"/>
      <c r="D494" s="260"/>
      <c r="E494" s="267"/>
      <c r="F494" s="260"/>
      <c r="G494" s="267">
        <f t="shared" si="9"/>
      </c>
      <c r="H494" s="41"/>
      <c r="I494" s="149"/>
      <c r="J494" s="149"/>
    </row>
    <row r="495" spans="1:10" ht="12.75">
      <c r="A495" s="224">
        <v>386812</v>
      </c>
      <c r="B495" s="9" t="s">
        <v>173</v>
      </c>
      <c r="C495" s="348"/>
      <c r="D495" s="260"/>
      <c r="E495" s="267"/>
      <c r="F495" s="260"/>
      <c r="G495" s="267">
        <f t="shared" si="9"/>
      </c>
      <c r="H495" s="41"/>
      <c r="I495" s="149"/>
      <c r="J495" s="149"/>
    </row>
    <row r="496" spans="1:10" ht="12.75">
      <c r="A496" s="224">
        <v>386814</v>
      </c>
      <c r="B496" s="12" t="s">
        <v>174</v>
      </c>
      <c r="C496" s="348"/>
      <c r="D496" s="260"/>
      <c r="E496" s="267"/>
      <c r="F496" s="260"/>
      <c r="G496" s="267">
        <f t="shared" si="9"/>
      </c>
      <c r="H496" s="41"/>
      <c r="I496" s="149"/>
      <c r="J496" s="149"/>
    </row>
    <row r="497" spans="1:10" ht="12.75">
      <c r="A497" s="224">
        <v>386816</v>
      </c>
      <c r="B497" s="9" t="s">
        <v>175</v>
      </c>
      <c r="C497" s="348"/>
      <c r="D497" s="260"/>
      <c r="E497" s="267"/>
      <c r="F497" s="260"/>
      <c r="G497" s="267">
        <f t="shared" si="9"/>
      </c>
      <c r="H497" s="41"/>
      <c r="I497" s="149"/>
      <c r="J497" s="149"/>
    </row>
    <row r="498" spans="1:10" ht="12.75">
      <c r="A498" s="224">
        <v>386818</v>
      </c>
      <c r="B498" s="12" t="s">
        <v>176</v>
      </c>
      <c r="C498" s="348"/>
      <c r="D498" s="260"/>
      <c r="E498" s="267"/>
      <c r="F498" s="260"/>
      <c r="G498" s="267">
        <f t="shared" si="9"/>
      </c>
      <c r="H498" s="41"/>
      <c r="I498" s="149"/>
      <c r="J498" s="149"/>
    </row>
    <row r="499" spans="1:10" ht="12.75">
      <c r="A499" s="224">
        <v>386820</v>
      </c>
      <c r="B499" s="9" t="s">
        <v>177</v>
      </c>
      <c r="C499" s="348"/>
      <c r="D499" s="260"/>
      <c r="E499" s="267"/>
      <c r="F499" s="260"/>
      <c r="G499" s="267">
        <f t="shared" si="9"/>
      </c>
      <c r="H499" s="41"/>
      <c r="I499" s="149"/>
      <c r="J499" s="149"/>
    </row>
    <row r="500" spans="1:10" ht="12.75">
      <c r="A500" s="224">
        <v>386822</v>
      </c>
      <c r="B500" s="9" t="s">
        <v>178</v>
      </c>
      <c r="C500" s="348"/>
      <c r="D500" s="260"/>
      <c r="E500" s="267"/>
      <c r="F500" s="260"/>
      <c r="G500" s="267">
        <f t="shared" si="9"/>
      </c>
      <c r="H500" s="41"/>
      <c r="I500" s="149"/>
      <c r="J500" s="149"/>
    </row>
    <row r="501" spans="1:10" ht="12.75">
      <c r="A501" s="224">
        <v>386824</v>
      </c>
      <c r="B501" s="9" t="s">
        <v>179</v>
      </c>
      <c r="C501" s="348"/>
      <c r="D501" s="260"/>
      <c r="E501" s="267"/>
      <c r="F501" s="260"/>
      <c r="G501" s="267">
        <f t="shared" si="9"/>
      </c>
      <c r="H501" s="41"/>
      <c r="I501" s="149"/>
      <c r="J501" s="149"/>
    </row>
    <row r="502" spans="1:10" ht="12.75">
      <c r="A502" s="224">
        <v>386840</v>
      </c>
      <c r="B502" s="9" t="s">
        <v>778</v>
      </c>
      <c r="C502" s="348"/>
      <c r="D502" s="260"/>
      <c r="E502" s="267"/>
      <c r="F502" s="260"/>
      <c r="G502" s="267">
        <f>IF(E502&lt;&gt;C502,C502-E502,"")</f>
      </c>
      <c r="H502" s="41"/>
      <c r="I502" s="149"/>
      <c r="J502" s="149"/>
    </row>
    <row r="503" spans="1:10" ht="12.75">
      <c r="A503" s="224">
        <v>386850</v>
      </c>
      <c r="B503" s="9" t="s">
        <v>180</v>
      </c>
      <c r="C503" s="348"/>
      <c r="D503" s="260"/>
      <c r="E503" s="267"/>
      <c r="F503" s="260"/>
      <c r="G503" s="267">
        <f t="shared" si="9"/>
      </c>
      <c r="H503" s="41"/>
      <c r="I503" s="149"/>
      <c r="J503" s="149"/>
    </row>
    <row r="504" spans="1:10" ht="12.75">
      <c r="A504" s="224">
        <v>386856</v>
      </c>
      <c r="B504" s="9" t="s">
        <v>791</v>
      </c>
      <c r="C504" s="348"/>
      <c r="D504" s="260"/>
      <c r="E504" s="267"/>
      <c r="F504" s="260"/>
      <c r="G504" s="267">
        <f t="shared" si="9"/>
      </c>
      <c r="H504" s="41"/>
      <c r="I504" s="149"/>
      <c r="J504" s="149"/>
    </row>
    <row r="505" spans="1:10" ht="12.75">
      <c r="A505" s="224">
        <v>388712</v>
      </c>
      <c r="B505" s="12" t="s">
        <v>387</v>
      </c>
      <c r="C505" s="348"/>
      <c r="D505" s="260"/>
      <c r="E505" s="267"/>
      <c r="F505" s="260"/>
      <c r="G505" s="267">
        <f t="shared" si="9"/>
      </c>
      <c r="H505" s="41"/>
      <c r="I505" s="149"/>
      <c r="J505" s="149"/>
    </row>
    <row r="506" spans="1:10" ht="12.75">
      <c r="A506" s="224">
        <v>389011</v>
      </c>
      <c r="B506" s="9" t="s">
        <v>11</v>
      </c>
      <c r="C506" s="348"/>
      <c r="D506" s="260"/>
      <c r="E506" s="267"/>
      <c r="F506" s="260"/>
      <c r="G506" s="267">
        <f t="shared" si="9"/>
      </c>
      <c r="H506" s="41"/>
      <c r="I506" s="149"/>
      <c r="J506" s="149"/>
    </row>
    <row r="507" spans="1:10" ht="12.75">
      <c r="A507" s="224">
        <v>389027</v>
      </c>
      <c r="B507" s="9" t="s">
        <v>15</v>
      </c>
      <c r="C507" s="348"/>
      <c r="D507" s="260"/>
      <c r="E507" s="267"/>
      <c r="F507" s="260"/>
      <c r="G507" s="267">
        <f t="shared" si="9"/>
      </c>
      <c r="H507" s="41"/>
      <c r="I507" s="149"/>
      <c r="J507" s="149"/>
    </row>
    <row r="508" spans="1:10" ht="12.75">
      <c r="A508" s="224">
        <v>389050</v>
      </c>
      <c r="B508" s="9" t="s">
        <v>17</v>
      </c>
      <c r="C508" s="348"/>
      <c r="D508" s="260"/>
      <c r="E508" s="267"/>
      <c r="F508" s="260"/>
      <c r="G508" s="267">
        <f t="shared" si="9"/>
      </c>
      <c r="H508" s="41"/>
      <c r="I508" s="149"/>
      <c r="J508" s="149"/>
    </row>
    <row r="509" spans="1:10" ht="12.75">
      <c r="A509" s="224">
        <v>389064</v>
      </c>
      <c r="B509" s="9" t="s">
        <v>21</v>
      </c>
      <c r="C509" s="348"/>
      <c r="D509" s="260"/>
      <c r="E509" s="267"/>
      <c r="F509" s="260"/>
      <c r="G509" s="267">
        <f t="shared" si="9"/>
      </c>
      <c r="H509" s="41"/>
      <c r="I509" s="149"/>
      <c r="J509" s="149"/>
    </row>
    <row r="510" spans="1:10" ht="12.75">
      <c r="A510" s="224">
        <v>389069</v>
      </c>
      <c r="B510" s="218" t="s">
        <v>564</v>
      </c>
      <c r="C510" s="349"/>
      <c r="D510" s="260"/>
      <c r="E510" s="268"/>
      <c r="F510" s="260"/>
      <c r="G510" s="268">
        <f t="shared" si="9"/>
      </c>
      <c r="H510" s="41"/>
      <c r="I510" s="149"/>
      <c r="J510" s="149"/>
    </row>
    <row r="511" spans="1:10" ht="13.5" thickBot="1">
      <c r="A511" s="231" t="s">
        <v>401</v>
      </c>
      <c r="B511" s="6"/>
      <c r="C511" s="358">
        <f>SUM(C472:C510)</f>
        <v>0</v>
      </c>
      <c r="D511" s="260"/>
      <c r="E511" s="358">
        <v>0</v>
      </c>
      <c r="F511" s="260"/>
      <c r="G511" s="273">
        <f>SUM(G472:G510)</f>
        <v>0</v>
      </c>
      <c r="H511" s="41"/>
      <c r="I511" s="149"/>
      <c r="J511" s="149"/>
    </row>
    <row r="512" spans="1:10" ht="13.5" thickTop="1">
      <c r="A512" s="226"/>
      <c r="C512" s="353"/>
      <c r="E512" s="274"/>
      <c r="G512" s="274">
        <f t="shared" si="9"/>
      </c>
      <c r="H512" s="41"/>
      <c r="I512" s="149"/>
      <c r="J512" s="149"/>
    </row>
    <row r="513" spans="1:10" ht="15">
      <c r="A513" s="228" t="s">
        <v>527</v>
      </c>
      <c r="B513" s="2"/>
      <c r="C513" s="351"/>
      <c r="D513" s="261"/>
      <c r="E513" s="285"/>
      <c r="F513" s="261"/>
      <c r="G513" s="271"/>
      <c r="H513" s="171"/>
      <c r="I513" s="149"/>
      <c r="J513" s="149"/>
    </row>
    <row r="514" spans="1:10" ht="12.75">
      <c r="A514" s="224">
        <v>391910</v>
      </c>
      <c r="B514" s="9" t="s">
        <v>182</v>
      </c>
      <c r="C514" s="347"/>
      <c r="D514" s="260"/>
      <c r="E514" s="266"/>
      <c r="F514" s="260"/>
      <c r="G514" s="266">
        <f t="shared" si="9"/>
      </c>
      <c r="H514" s="41"/>
      <c r="I514" s="149"/>
      <c r="J514" s="149"/>
    </row>
    <row r="515" spans="1:10" ht="12.75">
      <c r="A515" s="224">
        <v>391911</v>
      </c>
      <c r="B515" s="12" t="s">
        <v>183</v>
      </c>
      <c r="C515" s="348"/>
      <c r="D515" s="260"/>
      <c r="E515" s="267"/>
      <c r="F515" s="260"/>
      <c r="G515" s="267">
        <f t="shared" si="9"/>
      </c>
      <c r="H515" s="41"/>
      <c r="I515" s="149"/>
      <c r="J515" s="149"/>
    </row>
    <row r="516" spans="1:10" ht="12.75">
      <c r="A516" s="224">
        <v>391920</v>
      </c>
      <c r="B516" s="9" t="s">
        <v>184</v>
      </c>
      <c r="C516" s="348"/>
      <c r="D516" s="260"/>
      <c r="E516" s="267"/>
      <c r="F516" s="260"/>
      <c r="G516" s="267">
        <f t="shared" si="9"/>
      </c>
      <c r="H516" s="41"/>
      <c r="I516" s="149"/>
      <c r="J516" s="149"/>
    </row>
    <row r="517" spans="1:10" ht="12.75">
      <c r="A517" s="224">
        <v>391921</v>
      </c>
      <c r="B517" s="12" t="s">
        <v>185</v>
      </c>
      <c r="C517" s="348"/>
      <c r="D517" s="260"/>
      <c r="E517" s="267"/>
      <c r="F517" s="260"/>
      <c r="G517" s="267">
        <f t="shared" si="9"/>
      </c>
      <c r="H517" s="41"/>
      <c r="I517" s="149"/>
      <c r="J517" s="149"/>
    </row>
    <row r="518" spans="1:10" ht="12.75">
      <c r="A518" s="224">
        <v>391930</v>
      </c>
      <c r="B518" s="9" t="s">
        <v>186</v>
      </c>
      <c r="C518" s="348"/>
      <c r="D518" s="260"/>
      <c r="E518" s="267"/>
      <c r="F518" s="260"/>
      <c r="G518" s="267">
        <f t="shared" si="9"/>
      </c>
      <c r="H518" s="41"/>
      <c r="I518" s="149"/>
      <c r="J518" s="149"/>
    </row>
    <row r="519" spans="1:10" ht="12.75">
      <c r="A519" s="224">
        <v>391931</v>
      </c>
      <c r="B519" s="12" t="s">
        <v>187</v>
      </c>
      <c r="C519" s="348"/>
      <c r="D519" s="260"/>
      <c r="E519" s="267"/>
      <c r="F519" s="260"/>
      <c r="G519" s="267">
        <f t="shared" si="9"/>
      </c>
      <c r="H519" s="41"/>
      <c r="I519" s="149"/>
      <c r="J519" s="149"/>
    </row>
    <row r="520" spans="1:10" ht="12.75">
      <c r="A520" s="224">
        <v>391940</v>
      </c>
      <c r="B520" s="9" t="s">
        <v>188</v>
      </c>
      <c r="C520" s="348"/>
      <c r="D520" s="260"/>
      <c r="E520" s="267"/>
      <c r="F520" s="260"/>
      <c r="G520" s="267">
        <f t="shared" si="9"/>
      </c>
      <c r="H520" s="41"/>
      <c r="I520" s="149"/>
      <c r="J520" s="149"/>
    </row>
    <row r="521" spans="1:10" ht="12.75">
      <c r="A521" s="224">
        <v>391941</v>
      </c>
      <c r="B521" s="12" t="s">
        <v>189</v>
      </c>
      <c r="C521" s="348"/>
      <c r="D521" s="260"/>
      <c r="E521" s="267"/>
      <c r="F521" s="260"/>
      <c r="G521" s="267">
        <f t="shared" si="9"/>
      </c>
      <c r="H521" s="41"/>
      <c r="I521" s="149"/>
      <c r="J521" s="149"/>
    </row>
    <row r="522" spans="1:10" ht="12.75">
      <c r="A522" s="224">
        <v>391990</v>
      </c>
      <c r="B522" s="9" t="s">
        <v>190</v>
      </c>
      <c r="C522" s="348"/>
      <c r="D522" s="260"/>
      <c r="E522" s="267"/>
      <c r="F522" s="260"/>
      <c r="G522" s="267">
        <f t="shared" si="9"/>
      </c>
      <c r="H522" s="41"/>
      <c r="I522" s="149"/>
      <c r="J522" s="149"/>
    </row>
    <row r="523" spans="1:10" ht="12.75">
      <c r="A523" s="224">
        <v>391991</v>
      </c>
      <c r="B523" s="9" t="s">
        <v>191</v>
      </c>
      <c r="C523" s="348"/>
      <c r="D523" s="260"/>
      <c r="E523" s="267"/>
      <c r="F523" s="260"/>
      <c r="G523" s="267">
        <f t="shared" si="9"/>
      </c>
      <c r="H523" s="41"/>
      <c r="I523" s="149"/>
      <c r="J523" s="149"/>
    </row>
    <row r="524" spans="1:10" ht="12.75">
      <c r="A524" s="224">
        <v>394092</v>
      </c>
      <c r="B524" s="9" t="s">
        <v>590</v>
      </c>
      <c r="C524" s="348"/>
      <c r="D524" s="260"/>
      <c r="E524" s="267"/>
      <c r="F524" s="260"/>
      <c r="G524" s="267">
        <f t="shared" si="9"/>
      </c>
      <c r="H524" s="41"/>
      <c r="I524" s="149"/>
      <c r="J524" s="149"/>
    </row>
    <row r="525" spans="1:10" ht="12.75">
      <c r="A525" s="224">
        <v>394095</v>
      </c>
      <c r="B525" s="9" t="s">
        <v>554</v>
      </c>
      <c r="C525" s="354"/>
      <c r="D525" s="260"/>
      <c r="E525" s="275"/>
      <c r="F525" s="260"/>
      <c r="G525" s="275">
        <f t="shared" si="9"/>
      </c>
      <c r="H525" s="41"/>
      <c r="I525" s="149"/>
      <c r="J525" s="149"/>
    </row>
    <row r="526" spans="1:10" ht="12.75">
      <c r="A526" s="224">
        <v>396910</v>
      </c>
      <c r="B526" s="9" t="s">
        <v>192</v>
      </c>
      <c r="C526" s="348"/>
      <c r="D526" s="260"/>
      <c r="E526" s="267"/>
      <c r="F526" s="260"/>
      <c r="G526" s="267">
        <f t="shared" si="9"/>
      </c>
      <c r="H526" s="41"/>
      <c r="I526" s="149"/>
      <c r="J526" s="149"/>
    </row>
    <row r="527" spans="1:10" ht="12.75">
      <c r="A527" s="224">
        <v>396920</v>
      </c>
      <c r="B527" s="9" t="s">
        <v>193</v>
      </c>
      <c r="C527" s="348"/>
      <c r="D527" s="260"/>
      <c r="E527" s="267"/>
      <c r="F527" s="260"/>
      <c r="G527" s="267">
        <f t="shared" si="9"/>
      </c>
      <c r="H527" s="41"/>
      <c r="I527" s="149"/>
      <c r="J527" s="149"/>
    </row>
    <row r="528" spans="1:10" ht="12.75">
      <c r="A528" s="224">
        <v>396921</v>
      </c>
      <c r="B528" s="12" t="s">
        <v>194</v>
      </c>
      <c r="C528" s="348"/>
      <c r="D528" s="260"/>
      <c r="E528" s="267"/>
      <c r="F528" s="260"/>
      <c r="G528" s="267">
        <f t="shared" si="9"/>
      </c>
      <c r="H528" s="41"/>
      <c r="I528" s="149"/>
      <c r="J528" s="149"/>
    </row>
    <row r="529" spans="1:10" ht="12.75">
      <c r="A529" s="224">
        <v>396930</v>
      </c>
      <c r="B529" s="9" t="s">
        <v>195</v>
      </c>
      <c r="C529" s="348"/>
      <c r="D529" s="260"/>
      <c r="E529" s="267"/>
      <c r="F529" s="260"/>
      <c r="G529" s="267">
        <f t="shared" si="9"/>
      </c>
      <c r="H529" s="41"/>
      <c r="I529" s="149"/>
      <c r="J529" s="149"/>
    </row>
    <row r="530" spans="1:10" ht="12.75">
      <c r="A530" s="224">
        <v>396931</v>
      </c>
      <c r="B530" s="12" t="s">
        <v>196</v>
      </c>
      <c r="C530" s="348"/>
      <c r="D530" s="260"/>
      <c r="E530" s="267"/>
      <c r="F530" s="260"/>
      <c r="G530" s="267">
        <f t="shared" si="9"/>
      </c>
      <c r="H530" s="41"/>
      <c r="I530" s="149"/>
      <c r="J530" s="149"/>
    </row>
    <row r="531" spans="1:10" ht="12.75">
      <c r="A531" s="224">
        <v>396939</v>
      </c>
      <c r="B531" s="9" t="s">
        <v>197</v>
      </c>
      <c r="C531" s="348"/>
      <c r="D531" s="260"/>
      <c r="E531" s="267"/>
      <c r="F531" s="260"/>
      <c r="G531" s="267">
        <f t="shared" si="9"/>
      </c>
      <c r="H531" s="41"/>
      <c r="I531" s="149"/>
      <c r="J531" s="149"/>
    </row>
    <row r="532" spans="1:10" ht="12.75">
      <c r="A532" s="224">
        <v>396940</v>
      </c>
      <c r="B532" s="12" t="s">
        <v>198</v>
      </c>
      <c r="C532" s="348"/>
      <c r="D532" s="260"/>
      <c r="E532" s="267"/>
      <c r="F532" s="260"/>
      <c r="G532" s="267">
        <f t="shared" si="9"/>
      </c>
      <c r="H532" s="41"/>
      <c r="I532" s="149"/>
      <c r="J532" s="149"/>
    </row>
    <row r="533" spans="1:10" ht="12.75">
      <c r="A533" s="224">
        <v>396941</v>
      </c>
      <c r="B533" s="9" t="s">
        <v>743</v>
      </c>
      <c r="C533" s="348"/>
      <c r="D533" s="260"/>
      <c r="E533" s="267"/>
      <c r="F533" s="260"/>
      <c r="G533" s="267">
        <f t="shared" si="9"/>
      </c>
      <c r="H533" s="41"/>
      <c r="I533" s="149"/>
      <c r="J533" s="149"/>
    </row>
    <row r="534" spans="1:10" ht="12.75">
      <c r="A534" s="224">
        <v>399027</v>
      </c>
      <c r="B534" s="9" t="s">
        <v>15</v>
      </c>
      <c r="C534" s="348"/>
      <c r="D534" s="260"/>
      <c r="E534" s="267"/>
      <c r="F534" s="260"/>
      <c r="G534" s="267">
        <f t="shared" si="9"/>
      </c>
      <c r="H534" s="41"/>
      <c r="I534" s="149"/>
      <c r="J534" s="149"/>
    </row>
    <row r="535" spans="1:10" ht="12.75">
      <c r="A535" s="224">
        <v>399050</v>
      </c>
      <c r="B535" s="12" t="s">
        <v>17</v>
      </c>
      <c r="C535" s="348"/>
      <c r="D535" s="260"/>
      <c r="E535" s="267"/>
      <c r="F535" s="260"/>
      <c r="G535" s="267">
        <f t="shared" si="9"/>
      </c>
      <c r="H535" s="41"/>
      <c r="I535" s="149"/>
      <c r="J535" s="149"/>
    </row>
    <row r="536" spans="1:10" ht="12.75">
      <c r="A536" s="224">
        <v>399064</v>
      </c>
      <c r="B536" s="9" t="s">
        <v>21</v>
      </c>
      <c r="C536" s="348"/>
      <c r="D536" s="260"/>
      <c r="E536" s="267"/>
      <c r="F536" s="260"/>
      <c r="G536" s="267">
        <f aca="true" t="shared" si="10" ref="G536:G596">IF(E536&lt;&gt;C536,C536-E536,"")</f>
      </c>
      <c r="H536" s="41"/>
      <c r="I536" s="149"/>
      <c r="J536" s="149"/>
    </row>
    <row r="537" spans="1:10" ht="12.75">
      <c r="A537" s="224">
        <v>399069</v>
      </c>
      <c r="B537" s="218" t="s">
        <v>564</v>
      </c>
      <c r="C537" s="349"/>
      <c r="D537" s="260"/>
      <c r="E537" s="268"/>
      <c r="F537" s="260"/>
      <c r="G537" s="268">
        <f t="shared" si="10"/>
      </c>
      <c r="H537" s="41"/>
      <c r="I537" s="149"/>
      <c r="J537" s="149"/>
    </row>
    <row r="538" spans="1:10" ht="13.5" thickBot="1">
      <c r="A538" s="231" t="s">
        <v>401</v>
      </c>
      <c r="B538" s="6"/>
      <c r="C538" s="358">
        <f>SUM(C514:C537)</f>
        <v>0</v>
      </c>
      <c r="D538" s="260"/>
      <c r="E538" s="358">
        <v>0</v>
      </c>
      <c r="F538" s="260"/>
      <c r="G538" s="273">
        <f>SUM(G514:G537)</f>
        <v>0</v>
      </c>
      <c r="H538" s="41"/>
      <c r="I538" s="149"/>
      <c r="J538" s="149"/>
    </row>
    <row r="539" spans="1:10" ht="13.5" thickTop="1">
      <c r="A539" s="226"/>
      <c r="C539" s="353"/>
      <c r="E539" s="274"/>
      <c r="G539" s="274">
        <f t="shared" si="10"/>
      </c>
      <c r="H539" s="41"/>
      <c r="I539" s="149"/>
      <c r="J539" s="149"/>
    </row>
    <row r="540" spans="1:10" ht="15">
      <c r="A540" s="228" t="s">
        <v>528</v>
      </c>
      <c r="B540" s="2"/>
      <c r="C540" s="351"/>
      <c r="D540" s="261"/>
      <c r="E540" s="285"/>
      <c r="F540" s="261"/>
      <c r="G540" s="271"/>
      <c r="H540" s="171"/>
      <c r="I540" s="149"/>
      <c r="J540" s="149"/>
    </row>
    <row r="541" spans="1:10" ht="12.75">
      <c r="A541" s="224">
        <v>402010</v>
      </c>
      <c r="B541" s="9" t="s">
        <v>199</v>
      </c>
      <c r="C541" s="347"/>
      <c r="D541" s="260"/>
      <c r="E541" s="266"/>
      <c r="F541" s="260"/>
      <c r="G541" s="266">
        <f t="shared" si="10"/>
      </c>
      <c r="H541" s="41"/>
      <c r="I541" s="149"/>
      <c r="J541" s="149"/>
    </row>
    <row r="542" spans="1:10" ht="12.75">
      <c r="A542" s="224">
        <v>402011</v>
      </c>
      <c r="B542" s="12" t="s">
        <v>201</v>
      </c>
      <c r="C542" s="348"/>
      <c r="D542" s="260"/>
      <c r="E542" s="267"/>
      <c r="F542" s="260"/>
      <c r="G542" s="267">
        <f t="shared" si="10"/>
      </c>
      <c r="H542" s="41"/>
      <c r="I542" s="149"/>
      <c r="J542" s="149"/>
    </row>
    <row r="543" spans="1:10" ht="12.75">
      <c r="A543" s="224">
        <v>402020</v>
      </c>
      <c r="B543" s="9" t="s">
        <v>202</v>
      </c>
      <c r="C543" s="348"/>
      <c r="D543" s="260"/>
      <c r="E543" s="267"/>
      <c r="F543" s="260"/>
      <c r="G543" s="267">
        <f t="shared" si="10"/>
      </c>
      <c r="H543" s="41"/>
      <c r="I543" s="149"/>
      <c r="J543" s="149"/>
    </row>
    <row r="544" spans="1:10" ht="12.75">
      <c r="A544" s="224">
        <v>402021</v>
      </c>
      <c r="B544" s="12" t="s">
        <v>203</v>
      </c>
      <c r="C544" s="348"/>
      <c r="D544" s="260"/>
      <c r="E544" s="267"/>
      <c r="F544" s="260"/>
      <c r="G544" s="267">
        <f t="shared" si="10"/>
      </c>
      <c r="H544" s="41"/>
      <c r="I544" s="149"/>
      <c r="J544" s="149"/>
    </row>
    <row r="545" spans="1:10" ht="12.75">
      <c r="A545" s="224">
        <v>402090</v>
      </c>
      <c r="B545" s="12" t="s">
        <v>204</v>
      </c>
      <c r="C545" s="348"/>
      <c r="D545" s="260"/>
      <c r="E545" s="267"/>
      <c r="F545" s="260"/>
      <c r="G545" s="267">
        <f t="shared" si="10"/>
      </c>
      <c r="H545" s="41"/>
      <c r="I545" s="149"/>
      <c r="J545" s="149"/>
    </row>
    <row r="546" spans="1:10" ht="12.75">
      <c r="A546" s="224">
        <v>402091</v>
      </c>
      <c r="B546" s="9" t="s">
        <v>205</v>
      </c>
      <c r="C546" s="348"/>
      <c r="D546" s="260"/>
      <c r="E546" s="267"/>
      <c r="F546" s="260"/>
      <c r="G546" s="267">
        <f t="shared" si="10"/>
      </c>
      <c r="H546" s="41"/>
      <c r="I546" s="149"/>
      <c r="J546" s="149"/>
    </row>
    <row r="547" spans="1:10" ht="12.75">
      <c r="A547" s="224">
        <v>404092</v>
      </c>
      <c r="B547" s="12" t="s">
        <v>590</v>
      </c>
      <c r="C547" s="348"/>
      <c r="D547" s="260"/>
      <c r="E547" s="267"/>
      <c r="F547" s="260"/>
      <c r="G547" s="267">
        <f t="shared" si="10"/>
      </c>
      <c r="H547" s="41"/>
      <c r="I547" s="149"/>
      <c r="J547" s="149"/>
    </row>
    <row r="548" spans="1:10" ht="12.75">
      <c r="A548" s="224">
        <v>404095</v>
      </c>
      <c r="B548" s="9" t="s">
        <v>554</v>
      </c>
      <c r="C548" s="354"/>
      <c r="D548" s="260"/>
      <c r="E548" s="275"/>
      <c r="F548" s="260"/>
      <c r="G548" s="275">
        <f t="shared" si="10"/>
      </c>
      <c r="H548" s="41"/>
      <c r="I548" s="149"/>
      <c r="J548" s="149"/>
    </row>
    <row r="549" spans="1:10" ht="12.75">
      <c r="A549" s="224">
        <v>407012</v>
      </c>
      <c r="B549" s="9" t="s">
        <v>206</v>
      </c>
      <c r="C549" s="348"/>
      <c r="D549" s="260"/>
      <c r="E549" s="267"/>
      <c r="F549" s="260"/>
      <c r="G549" s="267">
        <f t="shared" si="10"/>
      </c>
      <c r="H549" s="41"/>
      <c r="I549" s="149"/>
      <c r="J549" s="149"/>
    </row>
    <row r="550" spans="1:10" ht="12.75">
      <c r="A550" s="224">
        <v>407017</v>
      </c>
      <c r="B550" s="9" t="s">
        <v>207</v>
      </c>
      <c r="C550" s="348"/>
      <c r="D550" s="260"/>
      <c r="E550" s="267"/>
      <c r="F550" s="260"/>
      <c r="G550" s="267">
        <f t="shared" si="10"/>
      </c>
      <c r="H550" s="41"/>
      <c r="I550" s="149"/>
      <c r="J550" s="149"/>
    </row>
    <row r="551" spans="1:10" ht="12.75">
      <c r="A551" s="224">
        <v>407018</v>
      </c>
      <c r="B551" s="9" t="s">
        <v>767</v>
      </c>
      <c r="C551" s="348"/>
      <c r="D551" s="260"/>
      <c r="E551" s="267"/>
      <c r="F551" s="260"/>
      <c r="G551" s="267">
        <f>IF(E551&lt;&gt;C551,C551-E551,"")</f>
      </c>
      <c r="H551" s="41"/>
      <c r="I551" s="149"/>
      <c r="J551" s="149"/>
    </row>
    <row r="552" spans="1:10" ht="12.75">
      <c r="A552" s="224">
        <v>407020</v>
      </c>
      <c r="B552" s="9" t="s">
        <v>208</v>
      </c>
      <c r="C552" s="348"/>
      <c r="D552" s="260"/>
      <c r="E552" s="267"/>
      <c r="F552" s="260"/>
      <c r="G552" s="267">
        <f t="shared" si="10"/>
      </c>
      <c r="H552" s="41"/>
      <c r="I552" s="149"/>
      <c r="J552" s="149"/>
    </row>
    <row r="553" spans="1:10" ht="12.75">
      <c r="A553" s="224">
        <v>407021</v>
      </c>
      <c r="B553" s="9" t="s">
        <v>209</v>
      </c>
      <c r="C553" s="348"/>
      <c r="D553" s="260"/>
      <c r="E553" s="267"/>
      <c r="F553" s="260"/>
      <c r="G553" s="267">
        <f t="shared" si="10"/>
      </c>
      <c r="H553" s="41"/>
      <c r="I553" s="149"/>
      <c r="J553" s="149"/>
    </row>
    <row r="554" spans="1:10" ht="12.75">
      <c r="A554" s="224">
        <v>407030</v>
      </c>
      <c r="B554" s="9" t="s">
        <v>210</v>
      </c>
      <c r="C554" s="348"/>
      <c r="D554" s="260"/>
      <c r="E554" s="267"/>
      <c r="F554" s="260"/>
      <c r="G554" s="267">
        <f t="shared" si="10"/>
      </c>
      <c r="H554" s="41"/>
      <c r="I554" s="149"/>
      <c r="J554" s="149"/>
    </row>
    <row r="555" spans="1:10" ht="12.75">
      <c r="A555" s="224">
        <v>409027</v>
      </c>
      <c r="B555" s="9" t="s">
        <v>15</v>
      </c>
      <c r="C555" s="348"/>
      <c r="D555" s="260"/>
      <c r="E555" s="267"/>
      <c r="F555" s="260"/>
      <c r="G555" s="267">
        <f t="shared" si="10"/>
      </c>
      <c r="H555" s="41"/>
      <c r="I555" s="149"/>
      <c r="J555" s="149"/>
    </row>
    <row r="556" spans="1:10" ht="12.75">
      <c r="A556" s="224">
        <v>409050</v>
      </c>
      <c r="B556" s="12" t="s">
        <v>17</v>
      </c>
      <c r="C556" s="348"/>
      <c r="D556" s="260"/>
      <c r="E556" s="267"/>
      <c r="F556" s="260"/>
      <c r="G556" s="267">
        <f t="shared" si="10"/>
      </c>
      <c r="H556" s="41"/>
      <c r="I556" s="149"/>
      <c r="J556" s="149"/>
    </row>
    <row r="557" spans="1:10" ht="12.75">
      <c r="A557" s="224">
        <v>409064</v>
      </c>
      <c r="B557" s="9" t="s">
        <v>21</v>
      </c>
      <c r="C557" s="348"/>
      <c r="D557" s="260"/>
      <c r="E557" s="267"/>
      <c r="F557" s="260"/>
      <c r="G557" s="267">
        <f t="shared" si="10"/>
      </c>
      <c r="H557" s="41"/>
      <c r="I557" s="149"/>
      <c r="J557" s="149"/>
    </row>
    <row r="558" spans="1:10" ht="12.75">
      <c r="A558" s="224">
        <v>409069</v>
      </c>
      <c r="B558" s="218" t="s">
        <v>564</v>
      </c>
      <c r="C558" s="349"/>
      <c r="D558" s="260"/>
      <c r="E558" s="268"/>
      <c r="F558" s="260"/>
      <c r="G558" s="268">
        <f t="shared" si="10"/>
      </c>
      <c r="H558" s="41"/>
      <c r="I558" s="149"/>
      <c r="J558" s="149"/>
    </row>
    <row r="559" spans="1:10" ht="13.5" thickBot="1">
      <c r="A559" s="231" t="s">
        <v>401</v>
      </c>
      <c r="B559" s="6"/>
      <c r="C559" s="358">
        <f>SUM(C541:C558)</f>
        <v>0</v>
      </c>
      <c r="D559" s="260"/>
      <c r="E559" s="358">
        <v>0</v>
      </c>
      <c r="F559" s="260"/>
      <c r="G559" s="273">
        <f>SUM(G541:G558)</f>
        <v>0</v>
      </c>
      <c r="H559" s="41"/>
      <c r="I559" s="149"/>
      <c r="J559" s="149"/>
    </row>
    <row r="560" spans="1:10" ht="13.5" thickTop="1">
      <c r="A560" s="226"/>
      <c r="C560" s="353"/>
      <c r="E560" s="274"/>
      <c r="G560" s="274">
        <f t="shared" si="10"/>
      </c>
      <c r="H560" s="41"/>
      <c r="I560" s="149"/>
      <c r="J560" s="149"/>
    </row>
    <row r="561" spans="1:10" ht="15">
      <c r="A561" s="228" t="s">
        <v>529</v>
      </c>
      <c r="B561" s="2"/>
      <c r="C561" s="351"/>
      <c r="D561" s="261"/>
      <c r="E561" s="285"/>
      <c r="F561" s="261"/>
      <c r="G561" s="271"/>
      <c r="H561" s="171"/>
      <c r="I561" s="149"/>
      <c r="J561" s="149"/>
    </row>
    <row r="562" spans="1:10" ht="12.75">
      <c r="A562" s="224">
        <v>412110</v>
      </c>
      <c r="B562" s="9" t="s">
        <v>211</v>
      </c>
      <c r="C562" s="347"/>
      <c r="D562" s="260"/>
      <c r="E562" s="266"/>
      <c r="F562" s="260"/>
      <c r="G562" s="266">
        <f t="shared" si="10"/>
      </c>
      <c r="H562" s="41"/>
      <c r="I562" s="149"/>
      <c r="J562" s="149"/>
    </row>
    <row r="563" spans="1:10" ht="12.75">
      <c r="A563" s="224">
        <v>412111</v>
      </c>
      <c r="B563" s="12" t="s">
        <v>212</v>
      </c>
      <c r="C563" s="348"/>
      <c r="D563" s="260"/>
      <c r="E563" s="267"/>
      <c r="F563" s="260"/>
      <c r="G563" s="267">
        <f t="shared" si="10"/>
      </c>
      <c r="H563" s="41"/>
      <c r="I563" s="149"/>
      <c r="J563" s="149"/>
    </row>
    <row r="564" spans="1:10" ht="12.75">
      <c r="A564" s="224">
        <v>412112</v>
      </c>
      <c r="B564" s="9" t="s">
        <v>213</v>
      </c>
      <c r="C564" s="348"/>
      <c r="D564" s="260"/>
      <c r="E564" s="267"/>
      <c r="F564" s="260"/>
      <c r="G564" s="267">
        <f t="shared" si="10"/>
      </c>
      <c r="H564" s="41"/>
      <c r="I564" s="149"/>
      <c r="J564" s="149"/>
    </row>
    <row r="565" spans="1:10" ht="12.75">
      <c r="A565" s="224">
        <v>412113</v>
      </c>
      <c r="B565" s="12" t="s">
        <v>214</v>
      </c>
      <c r="C565" s="348"/>
      <c r="D565" s="260"/>
      <c r="E565" s="267"/>
      <c r="F565" s="260"/>
      <c r="G565" s="267">
        <f t="shared" si="10"/>
      </c>
      <c r="H565" s="41"/>
      <c r="I565" s="149"/>
      <c r="J565" s="149"/>
    </row>
    <row r="566" spans="1:10" ht="12.75">
      <c r="A566" s="224">
        <v>412114</v>
      </c>
      <c r="B566" s="9" t="s">
        <v>215</v>
      </c>
      <c r="C566" s="348"/>
      <c r="D566" s="260"/>
      <c r="E566" s="267"/>
      <c r="F566" s="260"/>
      <c r="G566" s="267">
        <f t="shared" si="10"/>
      </c>
      <c r="H566" s="41"/>
      <c r="I566" s="149"/>
      <c r="J566" s="149"/>
    </row>
    <row r="567" spans="1:10" ht="12.75">
      <c r="A567" s="224">
        <v>412115</v>
      </c>
      <c r="B567" s="12" t="s">
        <v>216</v>
      </c>
      <c r="C567" s="348"/>
      <c r="D567" s="260"/>
      <c r="E567" s="267"/>
      <c r="F567" s="260"/>
      <c r="G567" s="267">
        <f t="shared" si="10"/>
      </c>
      <c r="H567" s="41"/>
      <c r="I567" s="149"/>
      <c r="J567" s="149"/>
    </row>
    <row r="568" spans="1:10" ht="12.75">
      <c r="A568" s="224">
        <v>412190</v>
      </c>
      <c r="B568" s="9" t="s">
        <v>217</v>
      </c>
      <c r="C568" s="348"/>
      <c r="D568" s="260"/>
      <c r="E568" s="267"/>
      <c r="F568" s="260"/>
      <c r="G568" s="267">
        <f t="shared" si="10"/>
      </c>
      <c r="H568" s="41"/>
      <c r="I568" s="149"/>
      <c r="J568" s="149"/>
    </row>
    <row r="569" spans="1:10" ht="12.75">
      <c r="A569" s="224">
        <v>412191</v>
      </c>
      <c r="B569" s="9" t="s">
        <v>218</v>
      </c>
      <c r="C569" s="348"/>
      <c r="D569" s="260"/>
      <c r="E569" s="267"/>
      <c r="F569" s="260"/>
      <c r="G569" s="267">
        <f t="shared" si="10"/>
      </c>
      <c r="H569" s="41"/>
      <c r="I569" s="149"/>
      <c r="J569" s="149"/>
    </row>
    <row r="570" spans="1:10" ht="12.75">
      <c r="A570" s="224">
        <v>414092</v>
      </c>
      <c r="B570" s="9" t="s">
        <v>590</v>
      </c>
      <c r="C570" s="348"/>
      <c r="D570" s="260"/>
      <c r="E570" s="267"/>
      <c r="F570" s="260"/>
      <c r="G570" s="267">
        <f t="shared" si="10"/>
      </c>
      <c r="H570" s="41"/>
      <c r="I570" s="149"/>
      <c r="J570" s="149"/>
    </row>
    <row r="571" spans="1:10" ht="12.75">
      <c r="A571" s="224">
        <v>414095</v>
      </c>
      <c r="B571" s="9" t="s">
        <v>554</v>
      </c>
      <c r="C571" s="354"/>
      <c r="D571" s="260"/>
      <c r="E571" s="275"/>
      <c r="F571" s="260"/>
      <c r="G571" s="275">
        <f t="shared" si="10"/>
      </c>
      <c r="H571" s="41"/>
      <c r="I571" s="149"/>
      <c r="J571" s="149"/>
    </row>
    <row r="572" spans="1:10" ht="12.75">
      <c r="A572" s="224">
        <v>417110</v>
      </c>
      <c r="B572" s="9" t="s">
        <v>220</v>
      </c>
      <c r="C572" s="348"/>
      <c r="D572" s="260"/>
      <c r="E572" s="267"/>
      <c r="F572" s="260"/>
      <c r="G572" s="267">
        <f t="shared" si="10"/>
      </c>
      <c r="H572" s="41"/>
      <c r="I572" s="149"/>
      <c r="J572" s="149"/>
    </row>
    <row r="573" spans="1:10" ht="12.75">
      <c r="A573" s="224">
        <v>417111</v>
      </c>
      <c r="B573" s="9" t="s">
        <v>221</v>
      </c>
      <c r="C573" s="348"/>
      <c r="D573" s="260"/>
      <c r="E573" s="267"/>
      <c r="F573" s="260"/>
      <c r="G573" s="267">
        <f t="shared" si="10"/>
      </c>
      <c r="H573" s="41"/>
      <c r="I573" s="149"/>
      <c r="J573" s="149"/>
    </row>
    <row r="574" spans="1:10" ht="12.75">
      <c r="A574" s="224">
        <v>417112</v>
      </c>
      <c r="B574" s="12" t="s">
        <v>222</v>
      </c>
      <c r="C574" s="348"/>
      <c r="D574" s="260"/>
      <c r="E574" s="267"/>
      <c r="F574" s="260"/>
      <c r="G574" s="267">
        <f t="shared" si="10"/>
      </c>
      <c r="H574" s="41"/>
      <c r="I574" s="149"/>
      <c r="J574" s="149"/>
    </row>
    <row r="575" spans="1:10" ht="12.75">
      <c r="A575" s="224">
        <v>417113</v>
      </c>
      <c r="B575" s="9" t="s">
        <v>223</v>
      </c>
      <c r="C575" s="348"/>
      <c r="D575" s="260"/>
      <c r="E575" s="267"/>
      <c r="F575" s="260"/>
      <c r="G575" s="267">
        <f t="shared" si="10"/>
      </c>
      <c r="H575" s="41"/>
      <c r="I575" s="149"/>
      <c r="J575" s="149"/>
    </row>
    <row r="576" spans="1:10" ht="12.75">
      <c r="A576" s="224">
        <v>417120</v>
      </c>
      <c r="B576" s="12" t="s">
        <v>224</v>
      </c>
      <c r="C576" s="348"/>
      <c r="D576" s="260"/>
      <c r="E576" s="267"/>
      <c r="F576" s="260"/>
      <c r="G576" s="267">
        <f t="shared" si="10"/>
      </c>
      <c r="H576" s="41"/>
      <c r="I576" s="149"/>
      <c r="J576" s="149"/>
    </row>
    <row r="577" spans="1:10" ht="12.75">
      <c r="A577" s="224">
        <v>417121</v>
      </c>
      <c r="B577" s="9" t="s">
        <v>225</v>
      </c>
      <c r="C577" s="348"/>
      <c r="D577" s="260"/>
      <c r="E577" s="267"/>
      <c r="F577" s="260"/>
      <c r="G577" s="267">
        <f t="shared" si="10"/>
      </c>
      <c r="H577" s="41"/>
      <c r="I577" s="149"/>
      <c r="J577" s="149"/>
    </row>
    <row r="578" spans="1:10" ht="12.75">
      <c r="A578" s="224">
        <v>417127</v>
      </c>
      <c r="B578" s="12" t="s">
        <v>226</v>
      </c>
      <c r="C578" s="348"/>
      <c r="D578" s="260"/>
      <c r="E578" s="267"/>
      <c r="F578" s="260"/>
      <c r="G578" s="267">
        <f t="shared" si="10"/>
      </c>
      <c r="H578" s="41"/>
      <c r="I578" s="149"/>
      <c r="J578" s="149"/>
    </row>
    <row r="579" spans="1:10" ht="12.75">
      <c r="A579" s="224">
        <v>417130</v>
      </c>
      <c r="B579" s="9" t="s">
        <v>783</v>
      </c>
      <c r="C579" s="348"/>
      <c r="D579" s="260"/>
      <c r="E579" s="267"/>
      <c r="F579" s="260"/>
      <c r="G579" s="267">
        <f t="shared" si="10"/>
      </c>
      <c r="H579" s="41"/>
      <c r="I579" s="149"/>
      <c r="J579" s="149"/>
    </row>
    <row r="580" spans="1:10" ht="12.75">
      <c r="A580" s="224">
        <v>419027</v>
      </c>
      <c r="B580" s="12" t="s">
        <v>15</v>
      </c>
      <c r="C580" s="348"/>
      <c r="D580" s="260"/>
      <c r="E580" s="267"/>
      <c r="F580" s="260"/>
      <c r="G580" s="267">
        <f t="shared" si="10"/>
      </c>
      <c r="H580" s="41"/>
      <c r="I580" s="149"/>
      <c r="J580" s="149"/>
    </row>
    <row r="581" spans="1:10" ht="12.75">
      <c r="A581" s="224">
        <v>419064</v>
      </c>
      <c r="B581" s="9" t="s">
        <v>21</v>
      </c>
      <c r="C581" s="348"/>
      <c r="D581" s="260"/>
      <c r="E581" s="267"/>
      <c r="F581" s="260"/>
      <c r="G581" s="267">
        <f t="shared" si="10"/>
      </c>
      <c r="H581" s="41"/>
      <c r="I581" s="149"/>
      <c r="J581" s="149"/>
    </row>
    <row r="582" spans="1:10" ht="12.75">
      <c r="A582" s="224">
        <v>419069</v>
      </c>
      <c r="B582" s="218" t="s">
        <v>564</v>
      </c>
      <c r="C582" s="349"/>
      <c r="D582" s="260"/>
      <c r="E582" s="268"/>
      <c r="F582" s="260"/>
      <c r="G582" s="268">
        <f t="shared" si="10"/>
      </c>
      <c r="H582" s="41"/>
      <c r="I582" s="149"/>
      <c r="J582" s="149"/>
    </row>
    <row r="583" spans="1:10" ht="13.5" thickBot="1">
      <c r="A583" s="231" t="s">
        <v>401</v>
      </c>
      <c r="B583" s="6"/>
      <c r="C583" s="358">
        <f>SUM(C562:C582)</f>
        <v>0</v>
      </c>
      <c r="D583" s="260"/>
      <c r="E583" s="358">
        <v>0</v>
      </c>
      <c r="F583" s="260"/>
      <c r="G583" s="273">
        <f>SUM(G562:G582)</f>
        <v>0</v>
      </c>
      <c r="H583" s="41"/>
      <c r="I583" s="149"/>
      <c r="J583" s="149"/>
    </row>
    <row r="584" spans="1:10" ht="13.5" thickTop="1">
      <c r="A584" s="226"/>
      <c r="G584" s="277">
        <f t="shared" si="10"/>
      </c>
      <c r="I584" s="149"/>
      <c r="J584" s="149"/>
    </row>
    <row r="585" spans="1:10" ht="15">
      <c r="A585" s="228" t="s">
        <v>530</v>
      </c>
      <c r="B585" s="2"/>
      <c r="C585" s="351"/>
      <c r="D585" s="261"/>
      <c r="E585" s="285"/>
      <c r="F585" s="261"/>
      <c r="G585" s="271"/>
      <c r="H585" s="171"/>
      <c r="I585" s="149"/>
      <c r="J585" s="149"/>
    </row>
    <row r="586" spans="1:10" ht="12.75">
      <c r="A586" s="224">
        <v>422201</v>
      </c>
      <c r="B586" s="9" t="s">
        <v>228</v>
      </c>
      <c r="C586" s="347"/>
      <c r="D586" s="260"/>
      <c r="E586" s="266"/>
      <c r="F586" s="260"/>
      <c r="G586" s="266">
        <f t="shared" si="10"/>
      </c>
      <c r="H586" s="41"/>
      <c r="I586" s="149"/>
      <c r="J586" s="149"/>
    </row>
    <row r="587" spans="1:10" ht="12.75">
      <c r="A587" s="224">
        <v>422202</v>
      </c>
      <c r="B587" s="9" t="s">
        <v>229</v>
      </c>
      <c r="C587" s="348"/>
      <c r="D587" s="260"/>
      <c r="E587" s="267"/>
      <c r="F587" s="260"/>
      <c r="G587" s="267">
        <f t="shared" si="10"/>
      </c>
      <c r="H587" s="41"/>
      <c r="I587" s="149"/>
      <c r="J587" s="149"/>
    </row>
    <row r="588" spans="1:10" ht="12.75">
      <c r="A588" s="224">
        <v>422203</v>
      </c>
      <c r="B588" s="9" t="s">
        <v>230</v>
      </c>
      <c r="C588" s="348"/>
      <c r="D588" s="260"/>
      <c r="E588" s="267"/>
      <c r="F588" s="260"/>
      <c r="G588" s="267">
        <f t="shared" si="10"/>
      </c>
      <c r="H588" s="41"/>
      <c r="I588" s="149"/>
      <c r="J588" s="149"/>
    </row>
    <row r="589" spans="1:10" ht="12.75">
      <c r="A589" s="224">
        <v>422204</v>
      </c>
      <c r="B589" s="9" t="s">
        <v>231</v>
      </c>
      <c r="C589" s="348"/>
      <c r="D589" s="260"/>
      <c r="E589" s="267"/>
      <c r="F589" s="260"/>
      <c r="G589" s="267">
        <f t="shared" si="10"/>
      </c>
      <c r="H589" s="41"/>
      <c r="I589" s="149"/>
      <c r="J589" s="149"/>
    </row>
    <row r="590" spans="1:10" ht="12.75">
      <c r="A590" s="224">
        <v>422205</v>
      </c>
      <c r="B590" s="9" t="s">
        <v>232</v>
      </c>
      <c r="C590" s="348"/>
      <c r="D590" s="260"/>
      <c r="E590" s="267"/>
      <c r="F590" s="260"/>
      <c r="G590" s="267">
        <f t="shared" si="10"/>
      </c>
      <c r="H590" s="41"/>
      <c r="I590" s="149"/>
      <c r="J590" s="149"/>
    </row>
    <row r="591" spans="1:10" ht="12.75">
      <c r="A591" s="224">
        <v>422206</v>
      </c>
      <c r="B591" s="9" t="s">
        <v>233</v>
      </c>
      <c r="C591" s="348"/>
      <c r="D591" s="260"/>
      <c r="E591" s="267"/>
      <c r="F591" s="260"/>
      <c r="G591" s="267">
        <f t="shared" si="10"/>
      </c>
      <c r="H591" s="41"/>
      <c r="I591" s="149"/>
      <c r="J591" s="149"/>
    </row>
    <row r="592" spans="1:10" ht="12.75">
      <c r="A592" s="224">
        <v>422207</v>
      </c>
      <c r="B592" s="9" t="s">
        <v>234</v>
      </c>
      <c r="C592" s="348"/>
      <c r="D592" s="260"/>
      <c r="E592" s="267"/>
      <c r="F592" s="260"/>
      <c r="G592" s="267">
        <f t="shared" si="10"/>
      </c>
      <c r="H592" s="41"/>
      <c r="I592" s="149"/>
      <c r="J592" s="149"/>
    </row>
    <row r="593" spans="1:10" ht="12.75">
      <c r="A593" s="224">
        <v>422208</v>
      </c>
      <c r="B593" s="9" t="s">
        <v>235</v>
      </c>
      <c r="C593" s="348"/>
      <c r="D593" s="260"/>
      <c r="E593" s="267"/>
      <c r="F593" s="260"/>
      <c r="G593" s="267">
        <f t="shared" si="10"/>
      </c>
      <c r="H593" s="41"/>
      <c r="I593" s="149"/>
      <c r="J593" s="149"/>
    </row>
    <row r="594" spans="1:10" ht="12.75">
      <c r="A594" s="224">
        <v>422209</v>
      </c>
      <c r="B594" s="9" t="s">
        <v>236</v>
      </c>
      <c r="C594" s="348"/>
      <c r="D594" s="260"/>
      <c r="E594" s="267"/>
      <c r="F594" s="260"/>
      <c r="G594" s="267">
        <f t="shared" si="10"/>
      </c>
      <c r="H594" s="41"/>
      <c r="I594" s="149"/>
      <c r="J594" s="149"/>
    </row>
    <row r="595" spans="1:10" ht="12.75">
      <c r="A595" s="224">
        <v>422210</v>
      </c>
      <c r="B595" s="9" t="s">
        <v>237</v>
      </c>
      <c r="C595" s="348"/>
      <c r="D595" s="260"/>
      <c r="E595" s="267"/>
      <c r="F595" s="260"/>
      <c r="G595" s="267">
        <f t="shared" si="10"/>
      </c>
      <c r="H595" s="41"/>
      <c r="I595" s="149"/>
      <c r="J595" s="149"/>
    </row>
    <row r="596" spans="1:10" ht="12.75">
      <c r="A596" s="224">
        <v>422211</v>
      </c>
      <c r="B596" s="9" t="s">
        <v>238</v>
      </c>
      <c r="C596" s="348"/>
      <c r="D596" s="260"/>
      <c r="E596" s="267"/>
      <c r="F596" s="260"/>
      <c r="G596" s="267">
        <f t="shared" si="10"/>
      </c>
      <c r="H596" s="41"/>
      <c r="I596" s="149"/>
      <c r="J596" s="149"/>
    </row>
    <row r="597" spans="1:10" ht="12.75">
      <c r="A597" s="224">
        <v>422212</v>
      </c>
      <c r="B597" s="9" t="s">
        <v>239</v>
      </c>
      <c r="C597" s="348"/>
      <c r="D597" s="260"/>
      <c r="E597" s="267"/>
      <c r="F597" s="260"/>
      <c r="G597" s="267">
        <f aca="true" t="shared" si="11" ref="G597:G640">IF(E597&lt;&gt;C597,C597-E597,"")</f>
      </c>
      <c r="H597" s="41"/>
      <c r="I597" s="149"/>
      <c r="J597" s="149"/>
    </row>
    <row r="598" spans="1:10" ht="12.75">
      <c r="A598" s="224">
        <v>422213</v>
      </c>
      <c r="B598" s="9" t="s">
        <v>240</v>
      </c>
      <c r="C598" s="348"/>
      <c r="D598" s="260"/>
      <c r="E598" s="267"/>
      <c r="F598" s="260"/>
      <c r="G598" s="267">
        <f t="shared" si="11"/>
      </c>
      <c r="H598" s="41"/>
      <c r="I598" s="149"/>
      <c r="J598" s="149"/>
    </row>
    <row r="599" spans="1:10" ht="12.75">
      <c r="A599" s="224">
        <v>422214</v>
      </c>
      <c r="B599" s="9" t="s">
        <v>241</v>
      </c>
      <c r="C599" s="348"/>
      <c r="D599" s="260"/>
      <c r="E599" s="267"/>
      <c r="F599" s="260"/>
      <c r="G599" s="267">
        <f t="shared" si="11"/>
      </c>
      <c r="H599" s="41"/>
      <c r="I599" s="149"/>
      <c r="J599" s="149"/>
    </row>
    <row r="600" spans="1:10" ht="12.75">
      <c r="A600" s="224">
        <v>422215</v>
      </c>
      <c r="B600" s="9" t="s">
        <v>242</v>
      </c>
      <c r="C600" s="348"/>
      <c r="D600" s="260"/>
      <c r="E600" s="267"/>
      <c r="F600" s="260"/>
      <c r="G600" s="267">
        <f t="shared" si="11"/>
      </c>
      <c r="H600" s="41"/>
      <c r="I600" s="149"/>
      <c r="J600" s="149"/>
    </row>
    <row r="601" spans="1:10" ht="12.75">
      <c r="A601" s="224">
        <v>422216</v>
      </c>
      <c r="B601" s="9" t="s">
        <v>243</v>
      </c>
      <c r="C601" s="348"/>
      <c r="D601" s="260"/>
      <c r="E601" s="267"/>
      <c r="F601" s="260"/>
      <c r="G601" s="267">
        <f t="shared" si="11"/>
      </c>
      <c r="H601" s="41"/>
      <c r="I601" s="149"/>
      <c r="J601" s="149"/>
    </row>
    <row r="602" spans="1:10" ht="12.75">
      <c r="A602" s="224">
        <v>422217</v>
      </c>
      <c r="B602" s="9" t="s">
        <v>244</v>
      </c>
      <c r="C602" s="348"/>
      <c r="D602" s="260"/>
      <c r="E602" s="267"/>
      <c r="F602" s="260"/>
      <c r="G602" s="267">
        <f t="shared" si="11"/>
      </c>
      <c r="H602" s="41"/>
      <c r="I602" s="149"/>
      <c r="J602" s="149"/>
    </row>
    <row r="603" spans="1:10" ht="12.75">
      <c r="A603" s="224">
        <v>422218</v>
      </c>
      <c r="B603" s="9" t="s">
        <v>245</v>
      </c>
      <c r="C603" s="348"/>
      <c r="D603" s="260"/>
      <c r="E603" s="267"/>
      <c r="F603" s="260"/>
      <c r="G603" s="267">
        <f t="shared" si="11"/>
      </c>
      <c r="H603" s="41"/>
      <c r="I603" s="149"/>
      <c r="J603" s="149"/>
    </row>
    <row r="604" spans="1:10" ht="12.75">
      <c r="A604" s="224">
        <v>422219</v>
      </c>
      <c r="B604" s="9" t="s">
        <v>246</v>
      </c>
      <c r="C604" s="348"/>
      <c r="D604" s="260"/>
      <c r="E604" s="267"/>
      <c r="F604" s="260"/>
      <c r="G604" s="267">
        <f t="shared" si="11"/>
      </c>
      <c r="H604" s="41"/>
      <c r="I604" s="149"/>
      <c r="J604" s="149"/>
    </row>
    <row r="605" spans="1:10" ht="12.75">
      <c r="A605" s="224">
        <v>422220</v>
      </c>
      <c r="B605" s="9" t="s">
        <v>247</v>
      </c>
      <c r="C605" s="348"/>
      <c r="D605" s="260"/>
      <c r="E605" s="267"/>
      <c r="F605" s="260"/>
      <c r="G605" s="267">
        <f t="shared" si="11"/>
      </c>
      <c r="H605" s="41"/>
      <c r="I605" s="149"/>
      <c r="J605" s="149"/>
    </row>
    <row r="606" spans="1:10" ht="12.75">
      <c r="A606" s="224">
        <v>422221</v>
      </c>
      <c r="B606" s="9" t="s">
        <v>248</v>
      </c>
      <c r="C606" s="348"/>
      <c r="D606" s="260"/>
      <c r="E606" s="267"/>
      <c r="F606" s="260"/>
      <c r="G606" s="267">
        <f t="shared" si="11"/>
      </c>
      <c r="H606" s="41"/>
      <c r="I606" s="149"/>
      <c r="J606" s="149"/>
    </row>
    <row r="607" spans="1:10" ht="12.75">
      <c r="A607" s="224">
        <v>422222</v>
      </c>
      <c r="B607" s="9" t="s">
        <v>249</v>
      </c>
      <c r="C607" s="348"/>
      <c r="D607" s="260"/>
      <c r="E607" s="267"/>
      <c r="F607" s="260"/>
      <c r="G607" s="267">
        <f t="shared" si="11"/>
      </c>
      <c r="H607" s="41"/>
      <c r="I607" s="149"/>
      <c r="J607" s="149"/>
    </row>
    <row r="608" spans="1:10" ht="12.75">
      <c r="A608" s="224">
        <v>422223</v>
      </c>
      <c r="B608" s="9" t="s">
        <v>250</v>
      </c>
      <c r="C608" s="348"/>
      <c r="D608" s="260"/>
      <c r="E608" s="267"/>
      <c r="F608" s="260"/>
      <c r="G608" s="267">
        <f t="shared" si="11"/>
      </c>
      <c r="H608" s="41"/>
      <c r="I608" s="149"/>
      <c r="J608" s="149"/>
    </row>
    <row r="609" spans="1:10" ht="12.75">
      <c r="A609" s="224">
        <v>422224</v>
      </c>
      <c r="B609" s="9" t="s">
        <v>251</v>
      </c>
      <c r="C609" s="348"/>
      <c r="D609" s="260"/>
      <c r="E609" s="267"/>
      <c r="F609" s="260"/>
      <c r="G609" s="267">
        <f t="shared" si="11"/>
      </c>
      <c r="H609" s="41"/>
      <c r="I609" s="149"/>
      <c r="J609" s="149"/>
    </row>
    <row r="610" spans="1:10" ht="12.75">
      <c r="A610" s="224">
        <v>422225</v>
      </c>
      <c r="B610" s="9" t="s">
        <v>252</v>
      </c>
      <c r="C610" s="348"/>
      <c r="D610" s="260"/>
      <c r="E610" s="267"/>
      <c r="F610" s="260"/>
      <c r="G610" s="267">
        <f t="shared" si="11"/>
      </c>
      <c r="H610" s="41"/>
      <c r="I610" s="149"/>
      <c r="J610" s="149"/>
    </row>
    <row r="611" spans="1:10" ht="12.75">
      <c r="A611" s="224">
        <v>422226</v>
      </c>
      <c r="B611" s="9" t="s">
        <v>253</v>
      </c>
      <c r="C611" s="348"/>
      <c r="D611" s="260"/>
      <c r="E611" s="267"/>
      <c r="F611" s="260"/>
      <c r="G611" s="267">
        <f t="shared" si="11"/>
      </c>
      <c r="H611" s="41"/>
      <c r="I611" s="149"/>
      <c r="J611" s="149"/>
    </row>
    <row r="612" spans="1:10" ht="12.75">
      <c r="A612" s="224">
        <v>422227</v>
      </c>
      <c r="B612" s="9" t="s">
        <v>254</v>
      </c>
      <c r="C612" s="348"/>
      <c r="D612" s="260"/>
      <c r="E612" s="267"/>
      <c r="F612" s="260"/>
      <c r="G612" s="267">
        <f t="shared" si="11"/>
      </c>
      <c r="H612" s="41"/>
      <c r="I612" s="149"/>
      <c r="J612" s="149"/>
    </row>
    <row r="613" spans="1:10" ht="12.75">
      <c r="A613" s="224">
        <v>422228</v>
      </c>
      <c r="B613" s="9" t="s">
        <v>255</v>
      </c>
      <c r="C613" s="348"/>
      <c r="D613" s="260"/>
      <c r="E613" s="267"/>
      <c r="F613" s="260"/>
      <c r="G613" s="267">
        <f t="shared" si="11"/>
      </c>
      <c r="H613" s="41"/>
      <c r="I613" s="149"/>
      <c r="J613" s="149"/>
    </row>
    <row r="614" spans="1:10" ht="12.75">
      <c r="A614" s="224">
        <v>422229</v>
      </c>
      <c r="B614" s="9" t="s">
        <v>256</v>
      </c>
      <c r="C614" s="348"/>
      <c r="D614" s="260"/>
      <c r="E614" s="267"/>
      <c r="F614" s="260"/>
      <c r="G614" s="267">
        <f t="shared" si="11"/>
      </c>
      <c r="H614" s="41"/>
      <c r="I614" s="149"/>
      <c r="J614" s="149"/>
    </row>
    <row r="615" spans="1:10" ht="12.75">
      <c r="A615" s="224">
        <v>422230</v>
      </c>
      <c r="B615" s="9" t="s">
        <v>750</v>
      </c>
      <c r="C615" s="348"/>
      <c r="D615" s="260"/>
      <c r="E615" s="267"/>
      <c r="F615" s="260"/>
      <c r="G615" s="267">
        <f aca="true" t="shared" si="12" ref="G615:G624">IF(E615&lt;&gt;C615,C615-E615,"")</f>
      </c>
      <c r="H615" s="41"/>
      <c r="I615" s="149"/>
      <c r="J615" s="149"/>
    </row>
    <row r="616" spans="1:10" ht="12.75">
      <c r="A616" s="224">
        <v>422231</v>
      </c>
      <c r="B616" s="9" t="s">
        <v>751</v>
      </c>
      <c r="C616" s="348"/>
      <c r="D616" s="260"/>
      <c r="E616" s="267"/>
      <c r="F616" s="260"/>
      <c r="G616" s="267">
        <f t="shared" si="12"/>
      </c>
      <c r="H616" s="41"/>
      <c r="I616" s="149"/>
      <c r="J616" s="149"/>
    </row>
    <row r="617" spans="1:10" ht="12.75">
      <c r="A617" s="224">
        <v>422232</v>
      </c>
      <c r="B617" s="9" t="s">
        <v>752</v>
      </c>
      <c r="C617" s="348"/>
      <c r="D617" s="260"/>
      <c r="E617" s="267"/>
      <c r="F617" s="260"/>
      <c r="G617" s="267">
        <f t="shared" si="12"/>
      </c>
      <c r="H617" s="41"/>
      <c r="I617" s="149"/>
      <c r="J617" s="149"/>
    </row>
    <row r="618" spans="1:10" ht="12.75">
      <c r="A618" s="224">
        <v>422233</v>
      </c>
      <c r="B618" s="9" t="s">
        <v>753</v>
      </c>
      <c r="C618" s="348"/>
      <c r="D618" s="260"/>
      <c r="E618" s="267"/>
      <c r="F618" s="260"/>
      <c r="G618" s="267">
        <f t="shared" si="12"/>
      </c>
      <c r="H618" s="41"/>
      <c r="I618" s="149"/>
      <c r="J618" s="149"/>
    </row>
    <row r="619" spans="1:10" ht="12.75">
      <c r="A619" s="224">
        <v>422234</v>
      </c>
      <c r="B619" s="9" t="s">
        <v>754</v>
      </c>
      <c r="C619" s="348"/>
      <c r="D619" s="260"/>
      <c r="E619" s="267"/>
      <c r="F619" s="260"/>
      <c r="G619" s="267">
        <f t="shared" si="12"/>
      </c>
      <c r="H619" s="41"/>
      <c r="I619" s="149"/>
      <c r="J619" s="149"/>
    </row>
    <row r="620" spans="1:10" ht="12.75">
      <c r="A620" s="224">
        <v>422235</v>
      </c>
      <c r="B620" s="9" t="s">
        <v>755</v>
      </c>
      <c r="C620" s="348"/>
      <c r="D620" s="260"/>
      <c r="E620" s="267"/>
      <c r="F620" s="260"/>
      <c r="G620" s="267">
        <f t="shared" si="12"/>
      </c>
      <c r="H620" s="41"/>
      <c r="I620" s="149"/>
      <c r="J620" s="149"/>
    </row>
    <row r="621" spans="1:10" ht="12.75">
      <c r="A621" s="224">
        <v>422236</v>
      </c>
      <c r="B621" s="9" t="s">
        <v>756</v>
      </c>
      <c r="C621" s="348"/>
      <c r="D621" s="260"/>
      <c r="E621" s="267"/>
      <c r="F621" s="260"/>
      <c r="G621" s="267">
        <f t="shared" si="12"/>
      </c>
      <c r="H621" s="41"/>
      <c r="I621" s="149"/>
      <c r="J621" s="149"/>
    </row>
    <row r="622" spans="1:10" ht="12.75">
      <c r="A622" s="224">
        <v>422237</v>
      </c>
      <c r="B622" s="9" t="s">
        <v>757</v>
      </c>
      <c r="C622" s="348"/>
      <c r="D622" s="260"/>
      <c r="E622" s="267"/>
      <c r="F622" s="260"/>
      <c r="G622" s="267">
        <f t="shared" si="12"/>
      </c>
      <c r="H622" s="41"/>
      <c r="I622" s="149"/>
      <c r="J622" s="149"/>
    </row>
    <row r="623" spans="1:10" ht="12.75">
      <c r="A623" s="224">
        <v>422238</v>
      </c>
      <c r="B623" s="9" t="s">
        <v>758</v>
      </c>
      <c r="C623" s="348"/>
      <c r="D623" s="260"/>
      <c r="E623" s="267"/>
      <c r="F623" s="260"/>
      <c r="G623" s="267">
        <f t="shared" si="12"/>
      </c>
      <c r="H623" s="41"/>
      <c r="I623" s="149"/>
      <c r="J623" s="149"/>
    </row>
    <row r="624" spans="1:10" ht="12.75">
      <c r="A624" s="224">
        <v>422239</v>
      </c>
      <c r="B624" s="9" t="s">
        <v>759</v>
      </c>
      <c r="C624" s="348"/>
      <c r="D624" s="260"/>
      <c r="E624" s="267"/>
      <c r="F624" s="260"/>
      <c r="G624" s="267">
        <f t="shared" si="12"/>
      </c>
      <c r="H624" s="41"/>
      <c r="I624" s="149"/>
      <c r="J624" s="149"/>
    </row>
    <row r="625" spans="1:10" ht="12.75">
      <c r="A625" s="224">
        <v>422240</v>
      </c>
      <c r="B625" s="9" t="s">
        <v>257</v>
      </c>
      <c r="C625" s="348"/>
      <c r="D625" s="260"/>
      <c r="E625" s="267"/>
      <c r="F625" s="260"/>
      <c r="G625" s="267">
        <f t="shared" si="11"/>
      </c>
      <c r="H625" s="41"/>
      <c r="I625" s="149"/>
      <c r="J625" s="149"/>
    </row>
    <row r="626" spans="1:10" ht="12.75">
      <c r="A626" s="224">
        <v>422245</v>
      </c>
      <c r="B626" s="9" t="s">
        <v>258</v>
      </c>
      <c r="C626" s="348"/>
      <c r="D626" s="260"/>
      <c r="E626" s="267"/>
      <c r="F626" s="260"/>
      <c r="G626" s="267">
        <f t="shared" si="11"/>
      </c>
      <c r="H626" s="41"/>
      <c r="I626" s="149"/>
      <c r="J626" s="149"/>
    </row>
    <row r="627" spans="1:10" ht="12.75">
      <c r="A627" s="224">
        <v>422246</v>
      </c>
      <c r="B627" s="9" t="s">
        <v>259</v>
      </c>
      <c r="C627" s="348"/>
      <c r="D627" s="260"/>
      <c r="E627" s="267"/>
      <c r="F627" s="260"/>
      <c r="G627" s="267">
        <f t="shared" si="11"/>
      </c>
      <c r="H627" s="41"/>
      <c r="I627" s="149"/>
      <c r="J627" s="149"/>
    </row>
    <row r="628" spans="1:10" ht="12.75">
      <c r="A628" s="224">
        <v>422247</v>
      </c>
      <c r="B628" s="9" t="s">
        <v>260</v>
      </c>
      <c r="C628" s="348"/>
      <c r="D628" s="260"/>
      <c r="E628" s="267"/>
      <c r="F628" s="260"/>
      <c r="G628" s="267">
        <f t="shared" si="11"/>
      </c>
      <c r="H628" s="41"/>
      <c r="I628" s="149"/>
      <c r="J628" s="149"/>
    </row>
    <row r="629" spans="1:10" ht="12.75">
      <c r="A629" s="224">
        <v>422250</v>
      </c>
      <c r="B629" s="9" t="s">
        <v>261</v>
      </c>
      <c r="C629" s="348"/>
      <c r="D629" s="260"/>
      <c r="E629" s="267"/>
      <c r="F629" s="260"/>
      <c r="G629" s="267">
        <f t="shared" si="11"/>
      </c>
      <c r="H629" s="41"/>
      <c r="I629" s="149"/>
      <c r="J629" s="149"/>
    </row>
    <row r="630" spans="1:10" ht="12.75">
      <c r="A630" s="224">
        <v>422264</v>
      </c>
      <c r="B630" s="9" t="s">
        <v>262</v>
      </c>
      <c r="C630" s="348"/>
      <c r="D630" s="260"/>
      <c r="E630" s="267"/>
      <c r="F630" s="260"/>
      <c r="G630" s="267">
        <f t="shared" si="11"/>
      </c>
      <c r="H630" s="41"/>
      <c r="I630" s="149"/>
      <c r="J630" s="149"/>
    </row>
    <row r="631" spans="1:10" ht="12.75">
      <c r="A631" s="224">
        <v>422265</v>
      </c>
      <c r="B631" s="9" t="s">
        <v>263</v>
      </c>
      <c r="C631" s="348"/>
      <c r="D631" s="260"/>
      <c r="E631" s="267"/>
      <c r="F631" s="260"/>
      <c r="G631" s="267">
        <f t="shared" si="11"/>
      </c>
      <c r="H631" s="41"/>
      <c r="I631" s="149"/>
      <c r="J631" s="149"/>
    </row>
    <row r="632" spans="1:10" ht="12.75">
      <c r="A632" s="224">
        <v>422270</v>
      </c>
      <c r="B632" s="9" t="s">
        <v>264</v>
      </c>
      <c r="C632" s="348"/>
      <c r="D632" s="260"/>
      <c r="E632" s="267"/>
      <c r="F632" s="260"/>
      <c r="G632" s="267">
        <f t="shared" si="11"/>
      </c>
      <c r="H632" s="41"/>
      <c r="I632" s="149"/>
      <c r="J632" s="149"/>
    </row>
    <row r="633" spans="1:10" ht="12.75">
      <c r="A633" s="224">
        <v>422271</v>
      </c>
      <c r="B633" s="9" t="s">
        <v>265</v>
      </c>
      <c r="C633" s="348"/>
      <c r="D633" s="260"/>
      <c r="E633" s="267"/>
      <c r="F633" s="260"/>
      <c r="G633" s="267">
        <f t="shared" si="11"/>
      </c>
      <c r="H633" s="41"/>
      <c r="I633" s="149"/>
      <c r="J633" s="149"/>
    </row>
    <row r="634" spans="1:10" ht="12.75">
      <c r="A634" s="224">
        <v>422280</v>
      </c>
      <c r="B634" s="9" t="s">
        <v>266</v>
      </c>
      <c r="C634" s="348"/>
      <c r="D634" s="260"/>
      <c r="E634" s="267"/>
      <c r="F634" s="260"/>
      <c r="G634" s="267">
        <f t="shared" si="11"/>
      </c>
      <c r="H634" s="41"/>
      <c r="I634" s="149"/>
      <c r="J634" s="149"/>
    </row>
    <row r="635" spans="1:10" ht="12.75">
      <c r="A635" s="224">
        <v>422281</v>
      </c>
      <c r="B635" s="9" t="s">
        <v>267</v>
      </c>
      <c r="C635" s="348"/>
      <c r="D635" s="260"/>
      <c r="E635" s="267"/>
      <c r="F635" s="260"/>
      <c r="G635" s="267">
        <f t="shared" si="11"/>
      </c>
      <c r="H635" s="41"/>
      <c r="I635" s="149"/>
      <c r="J635" s="149"/>
    </row>
    <row r="636" spans="1:10" ht="12.75">
      <c r="A636" s="224">
        <v>422282</v>
      </c>
      <c r="B636" s="9" t="s">
        <v>268</v>
      </c>
      <c r="C636" s="348"/>
      <c r="D636" s="260"/>
      <c r="E636" s="267"/>
      <c r="F636" s="260"/>
      <c r="G636" s="267">
        <f t="shared" si="11"/>
      </c>
      <c r="H636" s="41"/>
      <c r="I636" s="149"/>
      <c r="J636" s="149"/>
    </row>
    <row r="637" spans="1:10" ht="12.75">
      <c r="A637" s="224">
        <v>422283</v>
      </c>
      <c r="B637" s="9" t="s">
        <v>269</v>
      </c>
      <c r="C637" s="348"/>
      <c r="D637" s="260"/>
      <c r="E637" s="267"/>
      <c r="F637" s="260"/>
      <c r="G637" s="267">
        <f>IF(E637&lt;&gt;C637,C637-E637,"")</f>
      </c>
      <c r="H637" s="41"/>
      <c r="I637" s="149"/>
      <c r="J637" s="149"/>
    </row>
    <row r="638" spans="1:10" ht="12.75">
      <c r="A638" s="224">
        <v>422293</v>
      </c>
      <c r="B638" s="9" t="s">
        <v>768</v>
      </c>
      <c r="C638" s="348"/>
      <c r="D638" s="260"/>
      <c r="E638" s="267"/>
      <c r="F638" s="260"/>
      <c r="G638" s="267">
        <f t="shared" si="11"/>
      </c>
      <c r="H638" s="41"/>
      <c r="I638" s="149"/>
      <c r="J638" s="149"/>
    </row>
    <row r="639" spans="1:10" ht="12.75">
      <c r="A639" s="224">
        <v>424095</v>
      </c>
      <c r="B639" s="9" t="s">
        <v>554</v>
      </c>
      <c r="C639" s="354"/>
      <c r="D639" s="260"/>
      <c r="E639" s="275"/>
      <c r="F639" s="260"/>
      <c r="G639" s="275">
        <f t="shared" si="11"/>
      </c>
      <c r="H639" s="41"/>
      <c r="I639" s="149"/>
      <c r="J639" s="149"/>
    </row>
    <row r="640" spans="1:10" ht="12.75">
      <c r="A640" s="224">
        <v>427210</v>
      </c>
      <c r="B640" s="218" t="s">
        <v>270</v>
      </c>
      <c r="C640" s="349"/>
      <c r="D640" s="260"/>
      <c r="E640" s="268"/>
      <c r="F640" s="260"/>
      <c r="G640" s="268">
        <f t="shared" si="11"/>
      </c>
      <c r="H640" s="41"/>
      <c r="I640" s="149"/>
      <c r="J640" s="149"/>
    </row>
    <row r="641" spans="1:10" ht="13.5" thickBot="1">
      <c r="A641" s="231" t="s">
        <v>401</v>
      </c>
      <c r="B641" s="6"/>
      <c r="C641" s="358">
        <f>SUM(C586:C640)</f>
        <v>0</v>
      </c>
      <c r="D641" s="260"/>
      <c r="E641" s="358">
        <v>0</v>
      </c>
      <c r="F641" s="260"/>
      <c r="G641" s="273">
        <f>SUM(G586:G640)</f>
        <v>0</v>
      </c>
      <c r="H641" s="41"/>
      <c r="I641" s="149"/>
      <c r="J641" s="149"/>
    </row>
    <row r="642" spans="1:10" ht="13.5" thickTop="1">
      <c r="A642" s="226"/>
      <c r="C642" s="353"/>
      <c r="E642" s="274"/>
      <c r="G642" s="274"/>
      <c r="H642" s="41"/>
      <c r="I642" s="149"/>
      <c r="J642" s="149"/>
    </row>
    <row r="643" spans="1:10" ht="15">
      <c r="A643" s="228" t="s">
        <v>620</v>
      </c>
      <c r="B643" s="16"/>
      <c r="C643" s="351"/>
      <c r="D643" s="261"/>
      <c r="E643" s="285"/>
      <c r="F643" s="261"/>
      <c r="G643" s="271"/>
      <c r="H643" s="171"/>
      <c r="I643" s="149"/>
      <c r="J643" s="149"/>
    </row>
    <row r="644" spans="1:10" ht="12.75">
      <c r="A644" s="224">
        <v>442410</v>
      </c>
      <c r="B644" s="11" t="s">
        <v>407</v>
      </c>
      <c r="C644" s="347"/>
      <c r="D644" s="260"/>
      <c r="E644" s="266"/>
      <c r="F644" s="260"/>
      <c r="G644" s="266">
        <f aca="true" t="shared" si="13" ref="G644:G664">IF(E644&lt;&gt;C644,C644-E644,"")</f>
      </c>
      <c r="H644" s="41"/>
      <c r="I644" s="149"/>
      <c r="J644" s="149"/>
    </row>
    <row r="645" spans="1:10" ht="12.75">
      <c r="A645" s="224">
        <v>442411</v>
      </c>
      <c r="B645" s="17" t="s">
        <v>408</v>
      </c>
      <c r="C645" s="348"/>
      <c r="D645" s="260"/>
      <c r="E645" s="267"/>
      <c r="F645" s="260"/>
      <c r="G645" s="267">
        <f t="shared" si="13"/>
      </c>
      <c r="H645" s="41"/>
      <c r="I645" s="149"/>
      <c r="J645" s="149"/>
    </row>
    <row r="646" spans="1:10" ht="12.75">
      <c r="A646" s="224">
        <v>442426</v>
      </c>
      <c r="B646" s="17" t="s">
        <v>405</v>
      </c>
      <c r="C646" s="348"/>
      <c r="D646" s="260"/>
      <c r="E646" s="267"/>
      <c r="F646" s="260"/>
      <c r="G646" s="267">
        <f t="shared" si="13"/>
      </c>
      <c r="H646" s="41"/>
      <c r="I646" s="149"/>
      <c r="J646" s="149"/>
    </row>
    <row r="647" spans="1:10" ht="12.75">
      <c r="A647" s="224">
        <v>442427</v>
      </c>
      <c r="B647" s="17" t="s">
        <v>406</v>
      </c>
      <c r="C647" s="348"/>
      <c r="D647" s="260"/>
      <c r="E647" s="267"/>
      <c r="F647" s="260"/>
      <c r="G647" s="267">
        <f t="shared" si="13"/>
      </c>
      <c r="H647" s="41"/>
      <c r="I647" s="149"/>
      <c r="J647" s="149"/>
    </row>
    <row r="648" spans="1:10" ht="12.75">
      <c r="A648" s="224">
        <v>444092</v>
      </c>
      <c r="B648" s="17" t="s">
        <v>590</v>
      </c>
      <c r="C648" s="348"/>
      <c r="D648" s="260"/>
      <c r="E648" s="267"/>
      <c r="F648" s="260"/>
      <c r="G648" s="267">
        <f t="shared" si="13"/>
      </c>
      <c r="H648" s="41"/>
      <c r="I648" s="149"/>
      <c r="J648" s="149"/>
    </row>
    <row r="649" spans="1:10" ht="12.75">
      <c r="A649" s="224">
        <v>444095</v>
      </c>
      <c r="B649" s="9" t="s">
        <v>554</v>
      </c>
      <c r="C649" s="354"/>
      <c r="D649" s="260"/>
      <c r="E649" s="275"/>
      <c r="F649" s="260"/>
      <c r="G649" s="275">
        <f t="shared" si="13"/>
      </c>
      <c r="H649" s="41"/>
      <c r="I649" s="149"/>
      <c r="J649" s="149"/>
    </row>
    <row r="650" spans="1:10" ht="12.75">
      <c r="A650" s="224">
        <v>449070</v>
      </c>
      <c r="B650" s="9" t="s">
        <v>565</v>
      </c>
      <c r="C650" s="348"/>
      <c r="D650" s="260"/>
      <c r="E650" s="267"/>
      <c r="F650" s="260"/>
      <c r="G650" s="267">
        <f t="shared" si="13"/>
      </c>
      <c r="H650" s="41"/>
      <c r="I650" s="149"/>
      <c r="J650" s="149"/>
    </row>
    <row r="651" spans="1:10" ht="12.75">
      <c r="A651" s="224">
        <v>449072</v>
      </c>
      <c r="B651" s="9" t="s">
        <v>566</v>
      </c>
      <c r="C651" s="348"/>
      <c r="D651" s="260"/>
      <c r="E651" s="267"/>
      <c r="F651" s="260"/>
      <c r="G651" s="267">
        <f t="shared" si="13"/>
      </c>
      <c r="H651" s="41"/>
      <c r="I651" s="149"/>
      <c r="J651" s="149"/>
    </row>
    <row r="652" spans="1:10" ht="12.75">
      <c r="A652" s="224">
        <v>449073</v>
      </c>
      <c r="B652" s="9" t="s">
        <v>567</v>
      </c>
      <c r="C652" s="348"/>
      <c r="D652" s="260"/>
      <c r="E652" s="267"/>
      <c r="F652" s="260"/>
      <c r="G652" s="267">
        <f t="shared" si="13"/>
      </c>
      <c r="H652" s="41"/>
      <c r="I652" s="149"/>
      <c r="J652" s="149"/>
    </row>
    <row r="653" spans="1:10" ht="12.75">
      <c r="A653" s="224">
        <v>449081</v>
      </c>
      <c r="B653" s="9" t="s">
        <v>599</v>
      </c>
      <c r="C653" s="348"/>
      <c r="D653" s="260"/>
      <c r="E653" s="267"/>
      <c r="F653" s="260"/>
      <c r="G653" s="267">
        <f t="shared" si="13"/>
      </c>
      <c r="H653" s="41"/>
      <c r="I653" s="149"/>
      <c r="J653" s="149"/>
    </row>
    <row r="654" spans="1:10" ht="12.75">
      <c r="A654" s="224">
        <v>449082</v>
      </c>
      <c r="B654" s="9" t="s">
        <v>600</v>
      </c>
      <c r="C654" s="348"/>
      <c r="D654" s="260"/>
      <c r="E654" s="267"/>
      <c r="F654" s="260"/>
      <c r="G654" s="267">
        <f t="shared" si="13"/>
      </c>
      <c r="H654" s="41"/>
      <c r="I654" s="149"/>
      <c r="J654" s="149"/>
    </row>
    <row r="655" spans="1:10" ht="12.75">
      <c r="A655" s="224">
        <v>449083</v>
      </c>
      <c r="B655" s="13" t="s">
        <v>601</v>
      </c>
      <c r="C655" s="348"/>
      <c r="D655" s="260"/>
      <c r="E655" s="267"/>
      <c r="F655" s="260"/>
      <c r="G655" s="267">
        <f t="shared" si="13"/>
      </c>
      <c r="H655" s="41"/>
      <c r="I655" s="149"/>
      <c r="J655" s="149"/>
    </row>
    <row r="656" spans="1:10" ht="12.75">
      <c r="A656" s="224">
        <v>449084</v>
      </c>
      <c r="B656" s="9" t="s">
        <v>602</v>
      </c>
      <c r="C656" s="348"/>
      <c r="D656" s="260"/>
      <c r="E656" s="267"/>
      <c r="F656" s="260"/>
      <c r="G656" s="267">
        <f t="shared" si="13"/>
      </c>
      <c r="H656" s="41"/>
      <c r="I656" s="149"/>
      <c r="J656" s="149"/>
    </row>
    <row r="657" spans="1:10" ht="12.75">
      <c r="A657" s="224">
        <v>449085</v>
      </c>
      <c r="B657" s="9" t="s">
        <v>603</v>
      </c>
      <c r="C657" s="348"/>
      <c r="D657" s="260"/>
      <c r="E657" s="267"/>
      <c r="F657" s="260"/>
      <c r="G657" s="267">
        <f t="shared" si="13"/>
      </c>
      <c r="H657" s="41"/>
      <c r="I657" s="149"/>
      <c r="J657" s="149"/>
    </row>
    <row r="658" spans="1:10" ht="12.75">
      <c r="A658" s="224">
        <v>449090</v>
      </c>
      <c r="B658" s="9" t="s">
        <v>604</v>
      </c>
      <c r="C658" s="348"/>
      <c r="D658" s="260"/>
      <c r="E658" s="267"/>
      <c r="F658" s="260"/>
      <c r="G658" s="267">
        <f t="shared" si="13"/>
      </c>
      <c r="H658" s="41"/>
      <c r="I658" s="149"/>
      <c r="J658" s="149"/>
    </row>
    <row r="659" spans="1:10" ht="12.75">
      <c r="A659" s="224">
        <v>449091</v>
      </c>
      <c r="B659" s="9" t="s">
        <v>605</v>
      </c>
      <c r="C659" s="348"/>
      <c r="D659" s="260"/>
      <c r="E659" s="267"/>
      <c r="F659" s="260"/>
      <c r="G659" s="267">
        <f t="shared" si="13"/>
      </c>
      <c r="H659" s="41"/>
      <c r="I659" s="149"/>
      <c r="J659" s="149"/>
    </row>
    <row r="660" spans="1:10" ht="12.75">
      <c r="A660" s="224">
        <v>449092</v>
      </c>
      <c r="B660" s="9" t="s">
        <v>606</v>
      </c>
      <c r="C660" s="348"/>
      <c r="D660" s="260"/>
      <c r="E660" s="267"/>
      <c r="F660" s="260"/>
      <c r="G660" s="267">
        <f t="shared" si="13"/>
      </c>
      <c r="H660" s="41"/>
      <c r="I660" s="149"/>
      <c r="J660" s="149"/>
    </row>
    <row r="661" spans="1:10" ht="12.75">
      <c r="A661" s="224">
        <v>449093</v>
      </c>
      <c r="B661" s="9" t="s">
        <v>569</v>
      </c>
      <c r="C661" s="348"/>
      <c r="D661" s="260"/>
      <c r="E661" s="267"/>
      <c r="F661" s="260"/>
      <c r="G661" s="267">
        <f t="shared" si="13"/>
      </c>
      <c r="H661" s="41"/>
      <c r="I661" s="149"/>
      <c r="J661" s="149"/>
    </row>
    <row r="662" spans="1:10" ht="12.75">
      <c r="A662" s="224">
        <v>449096</v>
      </c>
      <c r="B662" s="9" t="s">
        <v>271</v>
      </c>
      <c r="C662" s="348"/>
      <c r="D662" s="260"/>
      <c r="E662" s="267"/>
      <c r="F662" s="260"/>
      <c r="G662" s="267">
        <f t="shared" si="13"/>
      </c>
      <c r="H662" s="41"/>
      <c r="I662" s="149"/>
      <c r="J662" s="149"/>
    </row>
    <row r="663" spans="1:10" ht="12.75">
      <c r="A663" s="224">
        <v>449098</v>
      </c>
      <c r="B663" s="9" t="s">
        <v>25</v>
      </c>
      <c r="C663" s="348"/>
      <c r="D663" s="260"/>
      <c r="E663" s="267"/>
      <c r="F663" s="260"/>
      <c r="G663" s="267">
        <f t="shared" si="13"/>
      </c>
      <c r="H663" s="41"/>
      <c r="I663" s="149"/>
      <c r="J663" s="149"/>
    </row>
    <row r="664" spans="1:10" ht="12.75">
      <c r="A664" s="224">
        <v>449099</v>
      </c>
      <c r="B664" s="218" t="s">
        <v>26</v>
      </c>
      <c r="C664" s="349"/>
      <c r="D664" s="260"/>
      <c r="E664" s="268"/>
      <c r="F664" s="260"/>
      <c r="G664" s="268">
        <f t="shared" si="13"/>
      </c>
      <c r="H664" s="41"/>
      <c r="I664" s="149"/>
      <c r="J664" s="149"/>
    </row>
    <row r="665" spans="1:10" ht="13.5" thickBot="1">
      <c r="A665" s="231" t="s">
        <v>401</v>
      </c>
      <c r="B665" s="6"/>
      <c r="C665" s="358">
        <f>SUM(C644:C664)</f>
        <v>0</v>
      </c>
      <c r="D665" s="260"/>
      <c r="E665" s="358">
        <v>0</v>
      </c>
      <c r="F665" s="260"/>
      <c r="G665" s="273">
        <f>SUM(G644:G664)</f>
        <v>0</v>
      </c>
      <c r="H665" s="41"/>
      <c r="I665" s="149"/>
      <c r="J665" s="149"/>
    </row>
    <row r="666" spans="1:10" ht="13.5" thickTop="1">
      <c r="A666" s="226"/>
      <c r="I666" s="149"/>
      <c r="J666" s="149"/>
    </row>
    <row r="667" spans="1:10" ht="15">
      <c r="A667" s="228" t="s">
        <v>531</v>
      </c>
      <c r="B667" s="2"/>
      <c r="C667" s="351"/>
      <c r="D667" s="261"/>
      <c r="E667" s="285"/>
      <c r="F667" s="261"/>
      <c r="G667" s="271"/>
      <c r="H667" s="171"/>
      <c r="I667" s="149"/>
      <c r="J667" s="149"/>
    </row>
    <row r="668" spans="1:10" ht="12.75">
      <c r="A668" s="224">
        <v>511116</v>
      </c>
      <c r="B668" s="9" t="s">
        <v>200</v>
      </c>
      <c r="C668" s="347"/>
      <c r="D668" s="260"/>
      <c r="E668" s="266"/>
      <c r="F668" s="260"/>
      <c r="G668" s="266">
        <f aca="true" t="shared" si="14" ref="G668:G707">IF(E668&lt;&gt;C668,C668-E668,"")</f>
      </c>
      <c r="H668" s="41"/>
      <c r="I668" s="149"/>
      <c r="J668" s="149"/>
    </row>
    <row r="669" spans="1:10" ht="12.75">
      <c r="A669" s="224">
        <v>511120</v>
      </c>
      <c r="B669" s="9" t="s">
        <v>571</v>
      </c>
      <c r="C669" s="357"/>
      <c r="D669" s="260"/>
      <c r="E669" s="278"/>
      <c r="F669" s="260"/>
      <c r="G669" s="278">
        <f t="shared" si="14"/>
      </c>
      <c r="H669" s="41"/>
      <c r="I669" s="149"/>
      <c r="J669" s="149"/>
    </row>
    <row r="670" spans="1:10" ht="12.75">
      <c r="A670" s="224">
        <v>511126</v>
      </c>
      <c r="B670" s="9" t="s">
        <v>572</v>
      </c>
      <c r="C670" s="348"/>
      <c r="D670" s="260"/>
      <c r="E670" s="267"/>
      <c r="F670" s="260"/>
      <c r="G670" s="267">
        <f t="shared" si="14"/>
      </c>
      <c r="H670" s="41"/>
      <c r="I670" s="149"/>
      <c r="J670" s="149"/>
    </row>
    <row r="671" spans="1:10" ht="12.75">
      <c r="A671" s="224">
        <v>511127</v>
      </c>
      <c r="B671" s="12" t="s">
        <v>573</v>
      </c>
      <c r="C671" s="348"/>
      <c r="D671" s="260"/>
      <c r="E671" s="267"/>
      <c r="F671" s="260"/>
      <c r="G671" s="267">
        <f t="shared" si="14"/>
      </c>
      <c r="H671" s="41"/>
      <c r="I671" s="149"/>
      <c r="J671" s="149"/>
    </row>
    <row r="672" spans="1:10" ht="12.75">
      <c r="A672" s="224">
        <v>511160</v>
      </c>
      <c r="B672" s="9" t="s">
        <v>623</v>
      </c>
      <c r="C672" s="348"/>
      <c r="D672" s="260"/>
      <c r="E672" s="267"/>
      <c r="F672" s="260"/>
      <c r="G672" s="267">
        <f t="shared" si="14"/>
      </c>
      <c r="H672" s="41"/>
      <c r="I672" s="149"/>
      <c r="J672" s="149"/>
    </row>
    <row r="673" spans="1:10" ht="12.75">
      <c r="A673" s="224">
        <v>511161</v>
      </c>
      <c r="B673" s="12" t="s">
        <v>276</v>
      </c>
      <c r="C673" s="348"/>
      <c r="D673" s="260"/>
      <c r="E673" s="267"/>
      <c r="F673" s="260"/>
      <c r="G673" s="267">
        <f t="shared" si="14"/>
      </c>
      <c r="H673" s="41"/>
      <c r="I673" s="149"/>
      <c r="J673" s="149"/>
    </row>
    <row r="674" spans="1:10" ht="12.75">
      <c r="A674" s="224">
        <v>514090</v>
      </c>
      <c r="B674" s="9" t="s">
        <v>552</v>
      </c>
      <c r="C674" s="348"/>
      <c r="D674" s="260"/>
      <c r="E674" s="267"/>
      <c r="F674" s="260"/>
      <c r="G674" s="267">
        <f t="shared" si="14"/>
      </c>
      <c r="H674" s="41"/>
      <c r="I674" s="149"/>
      <c r="J674" s="149"/>
    </row>
    <row r="675" spans="1:10" ht="12.75">
      <c r="A675" s="224">
        <v>514091</v>
      </c>
      <c r="B675" s="9" t="s">
        <v>553</v>
      </c>
      <c r="C675" s="348"/>
      <c r="D675" s="260"/>
      <c r="E675" s="267"/>
      <c r="F675" s="260"/>
      <c r="G675" s="267">
        <f t="shared" si="14"/>
      </c>
      <c r="H675" s="41"/>
      <c r="I675" s="149"/>
      <c r="J675" s="149"/>
    </row>
    <row r="676" spans="1:10" ht="12.75">
      <c r="A676" s="224">
        <v>514092</v>
      </c>
      <c r="B676" s="9" t="s">
        <v>590</v>
      </c>
      <c r="C676" s="348"/>
      <c r="D676" s="260"/>
      <c r="E676" s="267"/>
      <c r="F676" s="260"/>
      <c r="G676" s="267">
        <f t="shared" si="14"/>
      </c>
      <c r="H676" s="41"/>
      <c r="I676" s="149"/>
      <c r="J676" s="149"/>
    </row>
    <row r="677" spans="1:10" ht="12.75">
      <c r="A677" s="224">
        <v>514095</v>
      </c>
      <c r="B677" s="9" t="s">
        <v>554</v>
      </c>
      <c r="C677" s="354"/>
      <c r="D677" s="260"/>
      <c r="E677" s="275"/>
      <c r="F677" s="260"/>
      <c r="G677" s="275">
        <f t="shared" si="14"/>
      </c>
      <c r="H677" s="41"/>
      <c r="I677" s="149"/>
      <c r="J677" s="149"/>
    </row>
    <row r="678" spans="1:10" ht="12.75">
      <c r="A678" s="224">
        <v>516150</v>
      </c>
      <c r="B678" s="9" t="s">
        <v>277</v>
      </c>
      <c r="C678" s="348"/>
      <c r="D678" s="260"/>
      <c r="E678" s="267"/>
      <c r="F678" s="260"/>
      <c r="G678" s="267">
        <f t="shared" si="14"/>
      </c>
      <c r="H678" s="41"/>
      <c r="I678" s="149"/>
      <c r="J678" s="149"/>
    </row>
    <row r="679" spans="1:10" ht="12.75">
      <c r="A679" s="224">
        <v>516151</v>
      </c>
      <c r="B679" s="12" t="s">
        <v>278</v>
      </c>
      <c r="C679" s="348"/>
      <c r="D679" s="260"/>
      <c r="E679" s="267"/>
      <c r="F679" s="260"/>
      <c r="G679" s="267">
        <f t="shared" si="14"/>
      </c>
      <c r="H679" s="41"/>
      <c r="I679" s="149"/>
      <c r="J679" s="149"/>
    </row>
    <row r="680" spans="1:10" ht="12.75">
      <c r="A680" s="224">
        <v>516152</v>
      </c>
      <c r="B680" s="9" t="s">
        <v>279</v>
      </c>
      <c r="C680" s="348"/>
      <c r="D680" s="260"/>
      <c r="E680" s="267"/>
      <c r="F680" s="260"/>
      <c r="G680" s="267">
        <f t="shared" si="14"/>
      </c>
      <c r="H680" s="41"/>
      <c r="I680" s="149"/>
      <c r="J680" s="149"/>
    </row>
    <row r="681" spans="1:10" ht="12.75">
      <c r="A681" s="224">
        <v>516153</v>
      </c>
      <c r="B681" s="9" t="s">
        <v>280</v>
      </c>
      <c r="C681" s="348"/>
      <c r="D681" s="260"/>
      <c r="E681" s="267"/>
      <c r="F681" s="260"/>
      <c r="G681" s="267">
        <f t="shared" si="14"/>
      </c>
      <c r="H681" s="41"/>
      <c r="I681" s="149"/>
      <c r="J681" s="149"/>
    </row>
    <row r="682" spans="1:10" ht="12.75">
      <c r="A682" s="224">
        <v>519010</v>
      </c>
      <c r="B682" s="9" t="s">
        <v>556</v>
      </c>
      <c r="C682" s="348"/>
      <c r="D682" s="260"/>
      <c r="E682" s="267"/>
      <c r="F682" s="260"/>
      <c r="G682" s="267">
        <f t="shared" si="14"/>
      </c>
      <c r="H682" s="41"/>
      <c r="I682" s="149"/>
      <c r="J682" s="149"/>
    </row>
    <row r="683" spans="1:10" ht="12.75">
      <c r="A683" s="224">
        <v>519011</v>
      </c>
      <c r="B683" s="9" t="s">
        <v>11</v>
      </c>
      <c r="C683" s="348"/>
      <c r="D683" s="260"/>
      <c r="E683" s="267"/>
      <c r="F683" s="260"/>
      <c r="G683" s="267">
        <f t="shared" si="14"/>
      </c>
      <c r="H683" s="41"/>
      <c r="I683" s="149"/>
      <c r="J683" s="149"/>
    </row>
    <row r="684" spans="1:10" ht="12.75">
      <c r="A684" s="224">
        <v>519013</v>
      </c>
      <c r="B684" s="9" t="s">
        <v>557</v>
      </c>
      <c r="C684" s="348"/>
      <c r="D684" s="260"/>
      <c r="E684" s="267"/>
      <c r="F684" s="260"/>
      <c r="G684" s="267">
        <f t="shared" si="14"/>
      </c>
      <c r="H684" s="41"/>
      <c r="I684" s="149"/>
      <c r="J684" s="149"/>
    </row>
    <row r="685" spans="1:10" ht="12.75">
      <c r="A685" s="224">
        <v>519020</v>
      </c>
      <c r="B685" s="14" t="s">
        <v>13</v>
      </c>
      <c r="C685" s="348"/>
      <c r="D685" s="260"/>
      <c r="E685" s="267"/>
      <c r="F685" s="260"/>
      <c r="G685" s="267">
        <f t="shared" si="14"/>
      </c>
      <c r="H685" s="41"/>
      <c r="I685" s="149"/>
      <c r="J685" s="149"/>
    </row>
    <row r="686" spans="1:10" ht="12.75">
      <c r="A686" s="224">
        <v>519021</v>
      </c>
      <c r="B686" s="9" t="s">
        <v>14</v>
      </c>
      <c r="C686" s="348"/>
      <c r="D686" s="260"/>
      <c r="E686" s="267"/>
      <c r="F686" s="260"/>
      <c r="G686" s="267">
        <f t="shared" si="14"/>
      </c>
      <c r="H686" s="41"/>
      <c r="I686" s="149"/>
      <c r="J686" s="149"/>
    </row>
    <row r="687" spans="1:10" ht="12.75">
      <c r="A687" s="224">
        <v>519022</v>
      </c>
      <c r="B687" s="9" t="s">
        <v>558</v>
      </c>
      <c r="C687" s="348"/>
      <c r="D687" s="260"/>
      <c r="E687" s="267"/>
      <c r="F687" s="260"/>
      <c r="G687" s="267">
        <f t="shared" si="14"/>
      </c>
      <c r="H687" s="41"/>
      <c r="I687" s="149"/>
      <c r="J687" s="149"/>
    </row>
    <row r="688" spans="1:10" ht="12.75">
      <c r="A688" s="224">
        <v>519023</v>
      </c>
      <c r="B688" s="9" t="s">
        <v>559</v>
      </c>
      <c r="C688" s="348"/>
      <c r="D688" s="260"/>
      <c r="E688" s="267"/>
      <c r="F688" s="260"/>
      <c r="G688" s="267">
        <f t="shared" si="14"/>
      </c>
      <c r="H688" s="41"/>
      <c r="I688" s="149"/>
      <c r="J688" s="149"/>
    </row>
    <row r="689" spans="1:10" ht="12.75">
      <c r="A689" s="224">
        <v>519025</v>
      </c>
      <c r="B689" s="9" t="s">
        <v>560</v>
      </c>
      <c r="C689" s="348"/>
      <c r="D689" s="260"/>
      <c r="E689" s="267"/>
      <c r="F689" s="260"/>
      <c r="G689" s="267">
        <f t="shared" si="14"/>
      </c>
      <c r="H689" s="41"/>
      <c r="I689" s="149"/>
      <c r="J689" s="149"/>
    </row>
    <row r="690" spans="1:10" ht="12.75">
      <c r="A690" s="224">
        <v>519027</v>
      </c>
      <c r="B690" s="9" t="s">
        <v>15</v>
      </c>
      <c r="C690" s="348"/>
      <c r="D690" s="260"/>
      <c r="E690" s="267"/>
      <c r="F690" s="260"/>
      <c r="G690" s="267">
        <f t="shared" si="14"/>
      </c>
      <c r="H690" s="41"/>
      <c r="I690" s="149"/>
      <c r="J690" s="149"/>
    </row>
    <row r="691" spans="1:10" ht="12.75">
      <c r="A691" s="224">
        <v>519029</v>
      </c>
      <c r="B691" s="9" t="s">
        <v>561</v>
      </c>
      <c r="C691" s="348"/>
      <c r="D691" s="260"/>
      <c r="E691" s="267"/>
      <c r="F691" s="260"/>
      <c r="G691" s="267">
        <f t="shared" si="14"/>
      </c>
      <c r="H691" s="41"/>
      <c r="I691" s="149"/>
      <c r="J691" s="149"/>
    </row>
    <row r="692" spans="1:10" ht="12.75">
      <c r="A692" s="224">
        <v>519030</v>
      </c>
      <c r="B692" s="9" t="s">
        <v>594</v>
      </c>
      <c r="C692" s="348"/>
      <c r="D692" s="260"/>
      <c r="E692" s="267"/>
      <c r="F692" s="260"/>
      <c r="G692" s="267">
        <f t="shared" si="14"/>
      </c>
      <c r="H692" s="41"/>
      <c r="I692" s="149"/>
      <c r="J692" s="149"/>
    </row>
    <row r="693" spans="1:10" ht="12.75">
      <c r="A693" s="224">
        <v>519064</v>
      </c>
      <c r="B693" s="9" t="s">
        <v>21</v>
      </c>
      <c r="C693" s="348"/>
      <c r="D693" s="260"/>
      <c r="E693" s="267"/>
      <c r="F693" s="260"/>
      <c r="G693" s="267">
        <f t="shared" si="14"/>
      </c>
      <c r="H693" s="41"/>
      <c r="I693" s="149"/>
      <c r="J693" s="149"/>
    </row>
    <row r="694" spans="1:10" ht="12.75">
      <c r="A694" s="224">
        <v>519069</v>
      </c>
      <c r="B694" s="9" t="s">
        <v>564</v>
      </c>
      <c r="C694" s="348"/>
      <c r="D694" s="260"/>
      <c r="E694" s="267"/>
      <c r="F694" s="260"/>
      <c r="G694" s="267">
        <f t="shared" si="14"/>
      </c>
      <c r="H694" s="41"/>
      <c r="I694" s="149"/>
      <c r="J694" s="149"/>
    </row>
    <row r="695" spans="1:10" ht="12.75">
      <c r="A695" s="224">
        <v>519070</v>
      </c>
      <c r="B695" s="9" t="s">
        <v>565</v>
      </c>
      <c r="C695" s="348"/>
      <c r="D695" s="260"/>
      <c r="E695" s="267"/>
      <c r="F695" s="260"/>
      <c r="G695" s="267">
        <f t="shared" si="14"/>
      </c>
      <c r="H695" s="41"/>
      <c r="I695" s="149"/>
      <c r="J695" s="149"/>
    </row>
    <row r="696" spans="1:10" ht="12.75">
      <c r="A696" s="224">
        <v>519072</v>
      </c>
      <c r="B696" s="9" t="s">
        <v>566</v>
      </c>
      <c r="C696" s="348"/>
      <c r="D696" s="260"/>
      <c r="E696" s="267"/>
      <c r="F696" s="260"/>
      <c r="G696" s="267">
        <f t="shared" si="14"/>
      </c>
      <c r="H696" s="41"/>
      <c r="I696" s="149"/>
      <c r="J696" s="149"/>
    </row>
    <row r="697" spans="1:10" ht="12.75">
      <c r="A697" s="224">
        <v>519073</v>
      </c>
      <c r="B697" s="9" t="s">
        <v>567</v>
      </c>
      <c r="C697" s="348"/>
      <c r="D697" s="260"/>
      <c r="E697" s="267"/>
      <c r="F697" s="260"/>
      <c r="G697" s="267">
        <f t="shared" si="14"/>
      </c>
      <c r="H697" s="41"/>
      <c r="I697" s="149"/>
      <c r="J697" s="149"/>
    </row>
    <row r="698" spans="1:10" ht="12.75">
      <c r="A698" s="224">
        <v>519077</v>
      </c>
      <c r="B698" s="9" t="s">
        <v>598</v>
      </c>
      <c r="C698" s="348"/>
      <c r="D698" s="260"/>
      <c r="E698" s="267"/>
      <c r="F698" s="260"/>
      <c r="G698" s="267">
        <f t="shared" si="14"/>
      </c>
      <c r="H698" s="41"/>
      <c r="I698" s="149"/>
      <c r="J698" s="149"/>
    </row>
    <row r="699" spans="1:10" ht="12.75">
      <c r="A699" s="224">
        <v>519078</v>
      </c>
      <c r="B699" s="9" t="s">
        <v>568</v>
      </c>
      <c r="C699" s="348"/>
      <c r="D699" s="260"/>
      <c r="E699" s="267"/>
      <c r="F699" s="260"/>
      <c r="G699" s="267">
        <f t="shared" si="14"/>
      </c>
      <c r="H699" s="41"/>
      <c r="I699" s="149"/>
      <c r="J699" s="149"/>
    </row>
    <row r="700" spans="1:10" ht="12.75">
      <c r="A700" s="224">
        <v>519081</v>
      </c>
      <c r="B700" s="9" t="s">
        <v>599</v>
      </c>
      <c r="C700" s="348"/>
      <c r="D700" s="260"/>
      <c r="E700" s="267"/>
      <c r="F700" s="260"/>
      <c r="G700" s="267">
        <f t="shared" si="14"/>
      </c>
      <c r="H700" s="41"/>
      <c r="I700" s="149"/>
      <c r="J700" s="149"/>
    </row>
    <row r="701" spans="1:10" ht="12.75">
      <c r="A701" s="224">
        <v>519082</v>
      </c>
      <c r="B701" s="9" t="s">
        <v>600</v>
      </c>
      <c r="C701" s="348"/>
      <c r="D701" s="260"/>
      <c r="E701" s="267"/>
      <c r="F701" s="260"/>
      <c r="G701" s="267">
        <f t="shared" si="14"/>
      </c>
      <c r="H701" s="41"/>
      <c r="I701" s="149"/>
      <c r="J701" s="149"/>
    </row>
    <row r="702" spans="1:10" ht="12.75">
      <c r="A702" s="224">
        <v>519083</v>
      </c>
      <c r="B702" s="9" t="s">
        <v>601</v>
      </c>
      <c r="C702" s="348"/>
      <c r="D702" s="260"/>
      <c r="E702" s="267"/>
      <c r="F702" s="260"/>
      <c r="G702" s="267">
        <f t="shared" si="14"/>
      </c>
      <c r="H702" s="41"/>
      <c r="I702" s="149"/>
      <c r="J702" s="149"/>
    </row>
    <row r="703" spans="1:10" ht="12.75">
      <c r="A703" s="224">
        <v>519084</v>
      </c>
      <c r="B703" s="9" t="s">
        <v>602</v>
      </c>
      <c r="C703" s="348"/>
      <c r="D703" s="260"/>
      <c r="E703" s="267"/>
      <c r="F703" s="260"/>
      <c r="G703" s="267">
        <f t="shared" si="14"/>
      </c>
      <c r="H703" s="41"/>
      <c r="I703" s="149"/>
      <c r="J703" s="149"/>
    </row>
    <row r="704" spans="1:10" ht="12.75">
      <c r="A704" s="224">
        <v>519085</v>
      </c>
      <c r="B704" s="9" t="s">
        <v>603</v>
      </c>
      <c r="C704" s="348"/>
      <c r="D704" s="260"/>
      <c r="E704" s="267"/>
      <c r="F704" s="260"/>
      <c r="G704" s="267">
        <f t="shared" si="14"/>
      </c>
      <c r="H704" s="41"/>
      <c r="I704" s="149"/>
      <c r="J704" s="149"/>
    </row>
    <row r="705" spans="1:10" ht="12.75">
      <c r="A705" s="224">
        <v>519090</v>
      </c>
      <c r="B705" s="9" t="s">
        <v>604</v>
      </c>
      <c r="C705" s="348"/>
      <c r="D705" s="260"/>
      <c r="E705" s="267"/>
      <c r="F705" s="260"/>
      <c r="G705" s="267">
        <f t="shared" si="14"/>
      </c>
      <c r="H705" s="41"/>
      <c r="I705" s="149"/>
      <c r="J705" s="149"/>
    </row>
    <row r="706" spans="1:10" ht="12.75">
      <c r="A706" s="224">
        <v>519093</v>
      </c>
      <c r="B706" s="9" t="s">
        <v>569</v>
      </c>
      <c r="C706" s="348"/>
      <c r="D706" s="260"/>
      <c r="E706" s="267"/>
      <c r="F706" s="260"/>
      <c r="G706" s="267">
        <f t="shared" si="14"/>
      </c>
      <c r="H706" s="41"/>
      <c r="I706" s="149"/>
      <c r="J706" s="149"/>
    </row>
    <row r="707" spans="1:10" ht="12.75">
      <c r="A707" s="224">
        <v>519098</v>
      </c>
      <c r="B707" s="218" t="s">
        <v>25</v>
      </c>
      <c r="C707" s="349"/>
      <c r="D707" s="260"/>
      <c r="E707" s="268"/>
      <c r="F707" s="260"/>
      <c r="G707" s="268">
        <f t="shared" si="14"/>
      </c>
      <c r="H707" s="41"/>
      <c r="I707" s="149"/>
      <c r="J707" s="149"/>
    </row>
    <row r="708" spans="1:10" ht="13.5" thickBot="1">
      <c r="A708" s="231" t="s">
        <v>401</v>
      </c>
      <c r="B708" s="6"/>
      <c r="C708" s="358">
        <f>SUM(C668:C707)</f>
        <v>0</v>
      </c>
      <c r="D708" s="260"/>
      <c r="E708" s="358">
        <v>0</v>
      </c>
      <c r="F708" s="260"/>
      <c r="G708" s="273">
        <f>SUM(G668:G707)</f>
        <v>0</v>
      </c>
      <c r="H708" s="41"/>
      <c r="I708" s="149"/>
      <c r="J708" s="149"/>
    </row>
    <row r="709" spans="1:10" ht="13.5" thickTop="1">
      <c r="A709" s="226"/>
      <c r="C709" s="353"/>
      <c r="E709" s="274"/>
      <c r="G709" s="274"/>
      <c r="H709" s="41"/>
      <c r="I709" s="149"/>
      <c r="J709" s="149"/>
    </row>
    <row r="710" spans="1:10" ht="15">
      <c r="A710" s="228" t="s">
        <v>532</v>
      </c>
      <c r="C710" s="351"/>
      <c r="D710" s="261"/>
      <c r="E710" s="285"/>
      <c r="F710" s="261"/>
      <c r="G710" s="271"/>
      <c r="H710" s="171"/>
      <c r="I710" s="149"/>
      <c r="J710" s="149"/>
    </row>
    <row r="711" spans="1:10" ht="12.75">
      <c r="A711" s="224">
        <v>523110</v>
      </c>
      <c r="B711" s="9" t="s">
        <v>281</v>
      </c>
      <c r="C711" s="347"/>
      <c r="D711" s="260"/>
      <c r="E711" s="266"/>
      <c r="F711" s="260"/>
      <c r="G711" s="266">
        <f aca="true" t="shared" si="15" ref="G711:G732">IF(E711&lt;&gt;C711,C711-E711,"")</f>
      </c>
      <c r="H711" s="41"/>
      <c r="I711" s="149"/>
      <c r="J711" s="149"/>
    </row>
    <row r="712" spans="1:10" ht="12.75">
      <c r="A712" s="224">
        <v>523111</v>
      </c>
      <c r="B712" s="12" t="s">
        <v>282</v>
      </c>
      <c r="C712" s="348"/>
      <c r="D712" s="260"/>
      <c r="E712" s="267"/>
      <c r="F712" s="260"/>
      <c r="G712" s="267">
        <f t="shared" si="15"/>
      </c>
      <c r="H712" s="41"/>
      <c r="I712" s="149"/>
      <c r="J712" s="149"/>
    </row>
    <row r="713" spans="1:10" ht="12.75">
      <c r="A713" s="224">
        <v>523114</v>
      </c>
      <c r="B713" s="9" t="s">
        <v>283</v>
      </c>
      <c r="C713" s="348"/>
      <c r="D713" s="260"/>
      <c r="E713" s="267"/>
      <c r="F713" s="260"/>
      <c r="G713" s="267">
        <f t="shared" si="15"/>
      </c>
      <c r="H713" s="41"/>
      <c r="I713" s="149"/>
      <c r="J713" s="149"/>
    </row>
    <row r="714" spans="1:10" ht="12.75">
      <c r="A714" s="224">
        <v>523115</v>
      </c>
      <c r="B714" s="12" t="s">
        <v>284</v>
      </c>
      <c r="C714" s="348"/>
      <c r="D714" s="260"/>
      <c r="E714" s="267"/>
      <c r="F714" s="260"/>
      <c r="G714" s="267">
        <f t="shared" si="15"/>
      </c>
      <c r="H714" s="41"/>
      <c r="I714" s="149"/>
      <c r="J714" s="149"/>
    </row>
    <row r="715" spans="1:10" ht="12.75">
      <c r="A715" s="224">
        <v>523120</v>
      </c>
      <c r="B715" s="9" t="s">
        <v>285</v>
      </c>
      <c r="C715" s="348"/>
      <c r="D715" s="260"/>
      <c r="E715" s="267"/>
      <c r="F715" s="260"/>
      <c r="G715" s="267">
        <f t="shared" si="15"/>
      </c>
      <c r="H715" s="41"/>
      <c r="I715" s="149"/>
      <c r="J715" s="149"/>
    </row>
    <row r="716" spans="1:10" ht="12.75">
      <c r="A716" s="224">
        <v>523121</v>
      </c>
      <c r="B716" s="12" t="s">
        <v>286</v>
      </c>
      <c r="C716" s="348"/>
      <c r="D716" s="260"/>
      <c r="E716" s="267"/>
      <c r="F716" s="260"/>
      <c r="G716" s="267">
        <f t="shared" si="15"/>
      </c>
      <c r="H716" s="41"/>
      <c r="I716" s="149"/>
      <c r="J716" s="149"/>
    </row>
    <row r="717" spans="1:10" ht="12.75">
      <c r="A717" s="224">
        <v>523122</v>
      </c>
      <c r="B717" s="9" t="s">
        <v>287</v>
      </c>
      <c r="C717" s="348"/>
      <c r="D717" s="260"/>
      <c r="E717" s="267"/>
      <c r="F717" s="260"/>
      <c r="G717" s="267">
        <f t="shared" si="15"/>
      </c>
      <c r="H717" s="41"/>
      <c r="I717" s="149"/>
      <c r="J717" s="149"/>
    </row>
    <row r="718" spans="1:10" ht="12.75">
      <c r="A718" s="224">
        <v>523123</v>
      </c>
      <c r="B718" s="9" t="s">
        <v>288</v>
      </c>
      <c r="C718" s="348"/>
      <c r="D718" s="260"/>
      <c r="E718" s="267"/>
      <c r="F718" s="260"/>
      <c r="G718" s="267">
        <f t="shared" si="15"/>
      </c>
      <c r="H718" s="41"/>
      <c r="I718" s="149"/>
      <c r="J718" s="149"/>
    </row>
    <row r="719" spans="1:10" ht="12.75">
      <c r="A719" s="224">
        <v>523124</v>
      </c>
      <c r="B719" s="9" t="s">
        <v>779</v>
      </c>
      <c r="C719" s="348"/>
      <c r="D719" s="260"/>
      <c r="E719" s="267"/>
      <c r="F719" s="260"/>
      <c r="G719" s="267">
        <f t="shared" si="15"/>
      </c>
      <c r="H719" s="41"/>
      <c r="I719" s="149"/>
      <c r="J719" s="149"/>
    </row>
    <row r="720" spans="1:10" ht="12.75">
      <c r="A720" s="224">
        <v>523125</v>
      </c>
      <c r="B720" s="9" t="s">
        <v>782</v>
      </c>
      <c r="C720" s="348"/>
      <c r="D720" s="260"/>
      <c r="E720" s="267"/>
      <c r="F720" s="260"/>
      <c r="G720" s="267">
        <f t="shared" si="15"/>
      </c>
      <c r="H720" s="41"/>
      <c r="I720" s="149"/>
      <c r="J720" s="149"/>
    </row>
    <row r="721" spans="1:10" ht="12.75">
      <c r="A721" s="224">
        <v>524092</v>
      </c>
      <c r="B721" s="9" t="s">
        <v>590</v>
      </c>
      <c r="C721" s="348"/>
      <c r="D721" s="260"/>
      <c r="E721" s="267"/>
      <c r="F721" s="260"/>
      <c r="G721" s="267">
        <f t="shared" si="15"/>
      </c>
      <c r="H721" s="41"/>
      <c r="I721" s="149"/>
      <c r="J721" s="149"/>
    </row>
    <row r="722" spans="1:10" ht="12.75">
      <c r="A722" s="224">
        <v>524095</v>
      </c>
      <c r="B722" s="9" t="s">
        <v>554</v>
      </c>
      <c r="C722" s="354"/>
      <c r="D722" s="260"/>
      <c r="E722" s="275"/>
      <c r="F722" s="260"/>
      <c r="G722" s="275">
        <f t="shared" si="15"/>
      </c>
      <c r="H722" s="41"/>
      <c r="I722" s="149"/>
      <c r="J722" s="149"/>
    </row>
    <row r="723" spans="1:10" ht="12.75">
      <c r="A723" s="224">
        <v>528110</v>
      </c>
      <c r="B723" s="9" t="s">
        <v>290</v>
      </c>
      <c r="C723" s="348"/>
      <c r="D723" s="260"/>
      <c r="E723" s="267"/>
      <c r="F723" s="260"/>
      <c r="G723" s="267">
        <f t="shared" si="15"/>
      </c>
      <c r="H723" s="41"/>
      <c r="I723" s="149"/>
      <c r="J723" s="149"/>
    </row>
    <row r="724" spans="1:10" ht="12.75">
      <c r="A724" s="224">
        <v>528120</v>
      </c>
      <c r="B724" s="9" t="s">
        <v>291</v>
      </c>
      <c r="C724" s="348"/>
      <c r="D724" s="260"/>
      <c r="E724" s="267"/>
      <c r="F724" s="260"/>
      <c r="G724" s="267">
        <f t="shared" si="15"/>
      </c>
      <c r="H724" s="41"/>
      <c r="I724" s="149"/>
      <c r="J724" s="149"/>
    </row>
    <row r="725" spans="1:10" ht="12.75">
      <c r="A725" s="224">
        <v>528128</v>
      </c>
      <c r="B725" s="9" t="s">
        <v>648</v>
      </c>
      <c r="C725" s="348"/>
      <c r="D725" s="260"/>
      <c r="E725" s="267"/>
      <c r="F725" s="260"/>
      <c r="G725" s="267">
        <f t="shared" si="15"/>
      </c>
      <c r="H725" s="41"/>
      <c r="I725" s="149"/>
      <c r="J725" s="149"/>
    </row>
    <row r="726" spans="1:10" ht="12.75">
      <c r="A726" s="224">
        <v>528130</v>
      </c>
      <c r="B726" s="12" t="s">
        <v>292</v>
      </c>
      <c r="C726" s="348"/>
      <c r="D726" s="260"/>
      <c r="E726" s="267"/>
      <c r="F726" s="260"/>
      <c r="G726" s="267">
        <f t="shared" si="15"/>
      </c>
      <c r="H726" s="41"/>
      <c r="I726" s="149"/>
      <c r="J726" s="149"/>
    </row>
    <row r="727" spans="1:10" ht="12.75">
      <c r="A727" s="224">
        <v>528132</v>
      </c>
      <c r="B727" s="9" t="s">
        <v>293</v>
      </c>
      <c r="C727" s="348"/>
      <c r="D727" s="260"/>
      <c r="E727" s="267"/>
      <c r="F727" s="260"/>
      <c r="G727" s="267">
        <f t="shared" si="15"/>
      </c>
      <c r="H727" s="41"/>
      <c r="I727" s="149"/>
      <c r="J727" s="149"/>
    </row>
    <row r="728" spans="1:10" ht="12.75">
      <c r="A728" s="224">
        <v>529011</v>
      </c>
      <c r="B728" s="9" t="s">
        <v>11</v>
      </c>
      <c r="C728" s="348"/>
      <c r="D728" s="260"/>
      <c r="E728" s="267"/>
      <c r="F728" s="260"/>
      <c r="G728" s="267">
        <f t="shared" si="15"/>
      </c>
      <c r="H728" s="41"/>
      <c r="I728" s="149"/>
      <c r="J728" s="149"/>
    </row>
    <row r="729" spans="1:10" ht="12.75">
      <c r="A729" s="224">
        <v>529013</v>
      </c>
      <c r="B729" s="9" t="s">
        <v>557</v>
      </c>
      <c r="C729" s="348"/>
      <c r="D729" s="260"/>
      <c r="E729" s="267"/>
      <c r="F729" s="260"/>
      <c r="G729" s="267">
        <f t="shared" si="15"/>
      </c>
      <c r="H729" s="41"/>
      <c r="I729" s="149"/>
      <c r="J729" s="149"/>
    </row>
    <row r="730" spans="1:10" ht="12.75">
      <c r="A730" s="224">
        <v>529027</v>
      </c>
      <c r="B730" s="9" t="s">
        <v>15</v>
      </c>
      <c r="C730" s="348"/>
      <c r="D730" s="260"/>
      <c r="E730" s="267"/>
      <c r="F730" s="260"/>
      <c r="G730" s="267">
        <f t="shared" si="15"/>
      </c>
      <c r="H730" s="41"/>
      <c r="I730" s="149"/>
      <c r="J730" s="149"/>
    </row>
    <row r="731" spans="1:10" ht="12.75">
      <c r="A731" s="224">
        <v>529050</v>
      </c>
      <c r="B731" s="9" t="s">
        <v>17</v>
      </c>
      <c r="C731" s="348"/>
      <c r="D731" s="260"/>
      <c r="E731" s="267"/>
      <c r="F731" s="260"/>
      <c r="G731" s="267">
        <f t="shared" si="15"/>
      </c>
      <c r="H731" s="41"/>
      <c r="I731" s="149"/>
      <c r="J731" s="149"/>
    </row>
    <row r="732" spans="1:10" ht="12.75">
      <c r="A732" s="224">
        <v>529069</v>
      </c>
      <c r="B732" s="218" t="s">
        <v>564</v>
      </c>
      <c r="C732" s="349"/>
      <c r="D732" s="260"/>
      <c r="E732" s="268"/>
      <c r="F732" s="260"/>
      <c r="G732" s="268">
        <f t="shared" si="15"/>
      </c>
      <c r="H732" s="41"/>
      <c r="I732" s="149"/>
      <c r="J732" s="149"/>
    </row>
    <row r="733" spans="1:10" ht="13.5" thickBot="1">
      <c r="A733" s="231" t="s">
        <v>401</v>
      </c>
      <c r="B733" s="6"/>
      <c r="C733" s="358">
        <f>SUM(C711:C732)</f>
        <v>0</v>
      </c>
      <c r="D733" s="260"/>
      <c r="E733" s="358">
        <v>0</v>
      </c>
      <c r="F733" s="260"/>
      <c r="G733" s="273">
        <f>SUM(G711:G732)</f>
        <v>0</v>
      </c>
      <c r="H733" s="41"/>
      <c r="I733" s="149"/>
      <c r="J733" s="149"/>
    </row>
    <row r="734" spans="1:10" ht="13.5" thickTop="1">
      <c r="A734" s="226"/>
      <c r="I734" s="149"/>
      <c r="J734" s="149"/>
    </row>
    <row r="735" spans="1:10" ht="15">
      <c r="A735" s="228" t="s">
        <v>533</v>
      </c>
      <c r="C735" s="351"/>
      <c r="D735" s="261"/>
      <c r="E735" s="285"/>
      <c r="F735" s="261"/>
      <c r="G735" s="271"/>
      <c r="H735" s="171"/>
      <c r="I735" s="149"/>
      <c r="J735" s="149"/>
    </row>
    <row r="736" spans="1:10" ht="12.75">
      <c r="A736" s="224">
        <v>533210</v>
      </c>
      <c r="B736" s="9" t="s">
        <v>586</v>
      </c>
      <c r="C736" s="347"/>
      <c r="D736" s="260"/>
      <c r="E736" s="266"/>
      <c r="F736" s="260"/>
      <c r="G736" s="266">
        <f aca="true" t="shared" si="16" ref="G736:G771">IF(E736&lt;&gt;C736,C736-E736,"")</f>
      </c>
      <c r="H736" s="41"/>
      <c r="I736" s="149"/>
      <c r="J736" s="149"/>
    </row>
    <row r="737" spans="1:10" ht="12.75">
      <c r="A737" s="224">
        <v>533211</v>
      </c>
      <c r="B737" s="9" t="s">
        <v>587</v>
      </c>
      <c r="C737" s="348"/>
      <c r="D737" s="260"/>
      <c r="E737" s="267"/>
      <c r="F737" s="260"/>
      <c r="G737" s="267">
        <f t="shared" si="16"/>
      </c>
      <c r="H737" s="41"/>
      <c r="I737" s="149"/>
      <c r="J737" s="149"/>
    </row>
    <row r="738" spans="1:10" ht="12.75">
      <c r="A738" s="224">
        <v>533212</v>
      </c>
      <c r="B738" s="9" t="s">
        <v>294</v>
      </c>
      <c r="C738" s="348"/>
      <c r="D738" s="260"/>
      <c r="E738" s="267"/>
      <c r="F738" s="260"/>
      <c r="G738" s="267">
        <f t="shared" si="16"/>
      </c>
      <c r="H738" s="41"/>
      <c r="I738" s="149"/>
      <c r="J738" s="149"/>
    </row>
    <row r="739" spans="1:10" ht="12.75">
      <c r="A739" s="224">
        <v>533213</v>
      </c>
      <c r="B739" s="12" t="s">
        <v>295</v>
      </c>
      <c r="C739" s="348"/>
      <c r="D739" s="260"/>
      <c r="E739" s="267"/>
      <c r="F739" s="260"/>
      <c r="G739" s="267">
        <f t="shared" si="16"/>
      </c>
      <c r="H739" s="41"/>
      <c r="I739" s="149"/>
      <c r="J739" s="149"/>
    </row>
    <row r="740" spans="1:10" ht="12.75">
      <c r="A740" s="224">
        <v>533214</v>
      </c>
      <c r="B740" s="9" t="s">
        <v>296</v>
      </c>
      <c r="C740" s="348"/>
      <c r="D740" s="260"/>
      <c r="E740" s="267"/>
      <c r="F740" s="260"/>
      <c r="G740" s="267">
        <f t="shared" si="16"/>
      </c>
      <c r="H740" s="41"/>
      <c r="I740" s="149"/>
      <c r="J740" s="149"/>
    </row>
    <row r="741" spans="1:10" ht="12.75">
      <c r="A741" s="224">
        <v>533215</v>
      </c>
      <c r="B741" s="9" t="s">
        <v>297</v>
      </c>
      <c r="C741" s="348"/>
      <c r="D741" s="260"/>
      <c r="E741" s="267"/>
      <c r="F741" s="260"/>
      <c r="G741" s="267">
        <f t="shared" si="16"/>
      </c>
      <c r="H741" s="41"/>
      <c r="I741" s="149"/>
      <c r="J741" s="149"/>
    </row>
    <row r="742" spans="1:10" ht="12.75">
      <c r="A742" s="224">
        <v>533220</v>
      </c>
      <c r="B742" s="9" t="s">
        <v>298</v>
      </c>
      <c r="C742" s="348"/>
      <c r="D742" s="260"/>
      <c r="E742" s="267"/>
      <c r="F742" s="260"/>
      <c r="G742" s="267">
        <f t="shared" si="16"/>
      </c>
      <c r="H742" s="41"/>
      <c r="I742" s="149"/>
      <c r="J742" s="149"/>
    </row>
    <row r="743" spans="1:10" ht="12.75">
      <c r="A743" s="224">
        <v>533221</v>
      </c>
      <c r="B743" s="12" t="s">
        <v>299</v>
      </c>
      <c r="C743" s="348"/>
      <c r="D743" s="260"/>
      <c r="E743" s="267"/>
      <c r="F743" s="260"/>
      <c r="G743" s="267">
        <f t="shared" si="16"/>
      </c>
      <c r="H743" s="41"/>
      <c r="I743" s="149"/>
      <c r="J743" s="149"/>
    </row>
    <row r="744" spans="1:10" ht="12.75">
      <c r="A744" s="224">
        <v>533222</v>
      </c>
      <c r="B744" s="9" t="s">
        <v>300</v>
      </c>
      <c r="C744" s="348"/>
      <c r="D744" s="260"/>
      <c r="E744" s="267"/>
      <c r="F744" s="260"/>
      <c r="G744" s="267">
        <f t="shared" si="16"/>
      </c>
      <c r="H744" s="41"/>
      <c r="I744" s="149"/>
      <c r="J744" s="149"/>
    </row>
    <row r="745" spans="1:10" ht="12.75">
      <c r="A745" s="224">
        <v>533223</v>
      </c>
      <c r="B745" s="12" t="s">
        <v>301</v>
      </c>
      <c r="C745" s="348"/>
      <c r="D745" s="260"/>
      <c r="E745" s="267"/>
      <c r="F745" s="260"/>
      <c r="G745" s="267">
        <f t="shared" si="16"/>
      </c>
      <c r="H745" s="41"/>
      <c r="I745" s="149"/>
      <c r="J745" s="149"/>
    </row>
    <row r="746" spans="1:10" ht="12.75">
      <c r="A746" s="224">
        <v>533224</v>
      </c>
      <c r="B746" s="9" t="s">
        <v>215</v>
      </c>
      <c r="C746" s="348"/>
      <c r="D746" s="260"/>
      <c r="E746" s="267"/>
      <c r="F746" s="260"/>
      <c r="G746" s="267">
        <f t="shared" si="16"/>
      </c>
      <c r="H746" s="41"/>
      <c r="I746" s="149"/>
      <c r="J746" s="149"/>
    </row>
    <row r="747" spans="1:10" ht="12.75">
      <c r="A747" s="224">
        <v>533225</v>
      </c>
      <c r="B747" s="9" t="s">
        <v>302</v>
      </c>
      <c r="C747" s="348"/>
      <c r="D747" s="260"/>
      <c r="E747" s="267"/>
      <c r="F747" s="260"/>
      <c r="G747" s="267">
        <f t="shared" si="16"/>
      </c>
      <c r="H747" s="41"/>
      <c r="I747" s="149"/>
      <c r="J747" s="149"/>
    </row>
    <row r="748" spans="1:10" ht="12.75">
      <c r="A748" s="224">
        <v>533230</v>
      </c>
      <c r="B748" s="9" t="s">
        <v>303</v>
      </c>
      <c r="C748" s="348"/>
      <c r="D748" s="260"/>
      <c r="E748" s="267"/>
      <c r="F748" s="260"/>
      <c r="G748" s="267">
        <f t="shared" si="16"/>
      </c>
      <c r="H748" s="41"/>
      <c r="I748" s="149"/>
      <c r="J748" s="149"/>
    </row>
    <row r="749" spans="1:10" ht="12.75">
      <c r="A749" s="224">
        <v>533231</v>
      </c>
      <c r="B749" s="12" t="s">
        <v>304</v>
      </c>
      <c r="C749" s="348"/>
      <c r="D749" s="260"/>
      <c r="E749" s="267"/>
      <c r="F749" s="260"/>
      <c r="G749" s="267">
        <f t="shared" si="16"/>
      </c>
      <c r="H749" s="41"/>
      <c r="I749" s="149"/>
      <c r="J749" s="149"/>
    </row>
    <row r="750" spans="1:10" ht="12.75">
      <c r="A750" s="224">
        <v>533240</v>
      </c>
      <c r="B750" s="9" t="s">
        <v>305</v>
      </c>
      <c r="C750" s="348"/>
      <c r="D750" s="260"/>
      <c r="E750" s="267"/>
      <c r="F750" s="260"/>
      <c r="G750" s="267">
        <f t="shared" si="16"/>
      </c>
      <c r="H750" s="41"/>
      <c r="I750" s="149"/>
      <c r="J750" s="149"/>
    </row>
    <row r="751" spans="1:10" ht="12.75">
      <c r="A751" s="224">
        <v>533241</v>
      </c>
      <c r="B751" s="9" t="s">
        <v>306</v>
      </c>
      <c r="C751" s="348"/>
      <c r="D751" s="260"/>
      <c r="E751" s="267"/>
      <c r="F751" s="260"/>
      <c r="G751" s="267">
        <f t="shared" si="16"/>
      </c>
      <c r="H751" s="41"/>
      <c r="I751" s="149"/>
      <c r="J751" s="149"/>
    </row>
    <row r="752" spans="1:10" ht="12.75">
      <c r="A752" s="224">
        <v>533250</v>
      </c>
      <c r="B752" s="9" t="s">
        <v>307</v>
      </c>
      <c r="C752" s="348"/>
      <c r="D752" s="260"/>
      <c r="E752" s="267"/>
      <c r="F752" s="260"/>
      <c r="G752" s="267">
        <f t="shared" si="16"/>
      </c>
      <c r="H752" s="41"/>
      <c r="I752" s="149"/>
      <c r="J752" s="149"/>
    </row>
    <row r="753" spans="1:10" ht="12.75">
      <c r="A753" s="224">
        <v>533251</v>
      </c>
      <c r="B753" s="9" t="s">
        <v>308</v>
      </c>
      <c r="C753" s="348"/>
      <c r="D753" s="260"/>
      <c r="E753" s="267"/>
      <c r="F753" s="260"/>
      <c r="G753" s="267">
        <f t="shared" si="16"/>
      </c>
      <c r="H753" s="41"/>
      <c r="I753" s="149"/>
      <c r="J753" s="149"/>
    </row>
    <row r="754" spans="1:10" ht="12.75">
      <c r="A754" s="224">
        <v>534092</v>
      </c>
      <c r="B754" s="9" t="s">
        <v>590</v>
      </c>
      <c r="C754" s="348"/>
      <c r="D754" s="260"/>
      <c r="E754" s="267"/>
      <c r="F754" s="260"/>
      <c r="G754" s="267">
        <f t="shared" si="16"/>
      </c>
      <c r="H754" s="41"/>
      <c r="I754" s="149"/>
      <c r="J754" s="149"/>
    </row>
    <row r="755" spans="1:10" ht="12.75">
      <c r="A755" s="224">
        <v>534095</v>
      </c>
      <c r="B755" s="9" t="s">
        <v>554</v>
      </c>
      <c r="C755" s="354"/>
      <c r="D755" s="260"/>
      <c r="E755" s="275"/>
      <c r="F755" s="260"/>
      <c r="G755" s="275">
        <f t="shared" si="16"/>
      </c>
      <c r="H755" s="41"/>
      <c r="I755" s="149"/>
      <c r="J755" s="149"/>
    </row>
    <row r="756" spans="1:10" ht="12.75">
      <c r="A756" s="224">
        <v>538201</v>
      </c>
      <c r="B756" s="12" t="s">
        <v>309</v>
      </c>
      <c r="C756" s="348"/>
      <c r="D756" s="260"/>
      <c r="E756" s="267"/>
      <c r="F756" s="260"/>
      <c r="G756" s="267">
        <f t="shared" si="16"/>
      </c>
      <c r="H756" s="41"/>
      <c r="I756" s="149"/>
      <c r="J756" s="149"/>
    </row>
    <row r="757" spans="1:10" ht="12.75">
      <c r="A757" s="224">
        <v>538220</v>
      </c>
      <c r="B757" s="9" t="s">
        <v>310</v>
      </c>
      <c r="C757" s="348"/>
      <c r="D757" s="260"/>
      <c r="E757" s="267"/>
      <c r="F757" s="260"/>
      <c r="G757" s="267">
        <f t="shared" si="16"/>
      </c>
      <c r="H757" s="41"/>
      <c r="I757" s="149"/>
      <c r="J757" s="149"/>
    </row>
    <row r="758" spans="1:10" ht="12.75">
      <c r="A758" s="224">
        <v>538232</v>
      </c>
      <c r="B758" s="9" t="s">
        <v>311</v>
      </c>
      <c r="C758" s="348"/>
      <c r="D758" s="260"/>
      <c r="E758" s="267"/>
      <c r="F758" s="260"/>
      <c r="G758" s="267">
        <f t="shared" si="16"/>
      </c>
      <c r="H758" s="41"/>
      <c r="I758" s="149"/>
      <c r="J758" s="149"/>
    </row>
    <row r="759" spans="1:10" ht="12.75">
      <c r="A759" s="224">
        <v>538233</v>
      </c>
      <c r="B759" s="9" t="s">
        <v>317</v>
      </c>
      <c r="C759" s="348"/>
      <c r="D759" s="260"/>
      <c r="E759" s="267"/>
      <c r="F759" s="260"/>
      <c r="G759" s="267">
        <f t="shared" si="16"/>
      </c>
      <c r="H759" s="41"/>
      <c r="I759" s="149"/>
      <c r="J759" s="149"/>
    </row>
    <row r="760" spans="1:10" ht="12.75">
      <c r="A760" s="224">
        <v>538239</v>
      </c>
      <c r="B760" s="9" t="s">
        <v>318</v>
      </c>
      <c r="C760" s="348"/>
      <c r="D760" s="260"/>
      <c r="E760" s="267"/>
      <c r="F760" s="260"/>
      <c r="G760" s="267">
        <f t="shared" si="16"/>
      </c>
      <c r="H760" s="41"/>
      <c r="I760" s="149"/>
      <c r="J760" s="149"/>
    </row>
    <row r="761" spans="1:10" ht="12.75">
      <c r="A761" s="224">
        <v>538240</v>
      </c>
      <c r="B761" s="9" t="s">
        <v>319</v>
      </c>
      <c r="C761" s="348"/>
      <c r="D761" s="260"/>
      <c r="E761" s="267"/>
      <c r="F761" s="260"/>
      <c r="G761" s="267">
        <f t="shared" si="16"/>
      </c>
      <c r="H761" s="41"/>
      <c r="I761" s="149"/>
      <c r="J761" s="149"/>
    </row>
    <row r="762" spans="1:10" ht="12.75">
      <c r="A762" s="224">
        <v>538250</v>
      </c>
      <c r="B762" s="9" t="s">
        <v>320</v>
      </c>
      <c r="C762" s="348"/>
      <c r="D762" s="260"/>
      <c r="E762" s="267"/>
      <c r="F762" s="260"/>
      <c r="G762" s="267">
        <f t="shared" si="16"/>
      </c>
      <c r="H762" s="41"/>
      <c r="I762" s="149"/>
      <c r="J762" s="149"/>
    </row>
    <row r="763" spans="1:10" ht="12.75">
      <c r="A763" s="224">
        <v>538260</v>
      </c>
      <c r="B763" s="9" t="s">
        <v>321</v>
      </c>
      <c r="C763" s="348"/>
      <c r="D763" s="260"/>
      <c r="E763" s="267"/>
      <c r="F763" s="260"/>
      <c r="G763" s="267">
        <f t="shared" si="16"/>
      </c>
      <c r="H763" s="41"/>
      <c r="I763" s="149"/>
      <c r="J763" s="149"/>
    </row>
    <row r="764" spans="1:10" ht="12.75">
      <c r="A764" s="224">
        <v>538261</v>
      </c>
      <c r="B764" s="9" t="s">
        <v>322</v>
      </c>
      <c r="C764" s="348"/>
      <c r="D764" s="260"/>
      <c r="E764" s="267"/>
      <c r="F764" s="260"/>
      <c r="G764" s="267">
        <f t="shared" si="16"/>
      </c>
      <c r="H764" s="41"/>
      <c r="I764" s="149"/>
      <c r="J764" s="149"/>
    </row>
    <row r="765" spans="1:10" ht="12.75">
      <c r="A765" s="224">
        <v>538264</v>
      </c>
      <c r="B765" s="9" t="s">
        <v>323</v>
      </c>
      <c r="C765" s="348"/>
      <c r="D765" s="260"/>
      <c r="E765" s="267"/>
      <c r="F765" s="260"/>
      <c r="G765" s="267">
        <f t="shared" si="16"/>
      </c>
      <c r="H765" s="41"/>
      <c r="I765" s="149"/>
      <c r="J765" s="149"/>
    </row>
    <row r="766" spans="1:10" ht="12.75">
      <c r="A766" s="224">
        <v>538266</v>
      </c>
      <c r="B766" s="9" t="s">
        <v>324</v>
      </c>
      <c r="C766" s="348"/>
      <c r="D766" s="260"/>
      <c r="E766" s="267"/>
      <c r="F766" s="260"/>
      <c r="G766" s="267">
        <f t="shared" si="16"/>
      </c>
      <c r="H766" s="41"/>
      <c r="I766" s="149"/>
      <c r="J766" s="149"/>
    </row>
    <row r="767" spans="1:10" ht="12.75">
      <c r="A767" s="224">
        <v>538270</v>
      </c>
      <c r="B767" s="9" t="s">
        <v>325</v>
      </c>
      <c r="C767" s="348"/>
      <c r="D767" s="260"/>
      <c r="E767" s="267"/>
      <c r="F767" s="260"/>
      <c r="G767" s="267">
        <f t="shared" si="16"/>
      </c>
      <c r="H767" s="41"/>
      <c r="I767" s="149"/>
      <c r="J767" s="149"/>
    </row>
    <row r="768" spans="1:10" ht="12.75">
      <c r="A768" s="224">
        <v>538280</v>
      </c>
      <c r="B768" s="9" t="s">
        <v>326</v>
      </c>
      <c r="C768" s="348"/>
      <c r="D768" s="260"/>
      <c r="E768" s="267"/>
      <c r="F768" s="260"/>
      <c r="G768" s="267">
        <f t="shared" si="16"/>
      </c>
      <c r="H768" s="41"/>
      <c r="I768" s="149"/>
      <c r="J768" s="149"/>
    </row>
    <row r="769" spans="1:10" ht="12.75">
      <c r="A769" s="224">
        <v>538281</v>
      </c>
      <c r="B769" s="9" t="s">
        <v>327</v>
      </c>
      <c r="C769" s="348"/>
      <c r="D769" s="260"/>
      <c r="E769" s="267"/>
      <c r="F769" s="260"/>
      <c r="G769" s="267">
        <f t="shared" si="16"/>
      </c>
      <c r="H769" s="41"/>
      <c r="I769" s="149"/>
      <c r="J769" s="149"/>
    </row>
    <row r="770" spans="1:10" ht="12.75">
      <c r="A770" s="224">
        <v>539027</v>
      </c>
      <c r="B770" s="9" t="s">
        <v>15</v>
      </c>
      <c r="C770" s="348"/>
      <c r="D770" s="260"/>
      <c r="E770" s="267"/>
      <c r="F770" s="260"/>
      <c r="G770" s="267">
        <f t="shared" si="16"/>
      </c>
      <c r="H770" s="41"/>
      <c r="I770" s="149"/>
      <c r="J770" s="149"/>
    </row>
    <row r="771" spans="1:10" ht="12.75">
      <c r="A771" s="224">
        <v>539069</v>
      </c>
      <c r="B771" s="218" t="s">
        <v>564</v>
      </c>
      <c r="C771" s="349"/>
      <c r="D771" s="260"/>
      <c r="E771" s="268"/>
      <c r="F771" s="260"/>
      <c r="G771" s="268">
        <f t="shared" si="16"/>
      </c>
      <c r="H771" s="41"/>
      <c r="I771" s="149"/>
      <c r="J771" s="149"/>
    </row>
    <row r="772" spans="1:10" ht="13.5" thickBot="1">
      <c r="A772" s="231" t="s">
        <v>401</v>
      </c>
      <c r="B772" s="6"/>
      <c r="C772" s="358">
        <f>SUM(C736:C771)</f>
        <v>0</v>
      </c>
      <c r="D772" s="260"/>
      <c r="E772" s="358">
        <v>0</v>
      </c>
      <c r="F772" s="260"/>
      <c r="G772" s="273">
        <f>SUM(G736:G771)</f>
        <v>0</v>
      </c>
      <c r="H772" s="41"/>
      <c r="I772" s="149"/>
      <c r="J772" s="149"/>
    </row>
    <row r="773" spans="1:10" ht="13.5" thickTop="1">
      <c r="A773" s="226"/>
      <c r="I773" s="149"/>
      <c r="J773" s="149"/>
    </row>
    <row r="774" spans="1:10" ht="15">
      <c r="A774" s="228" t="s">
        <v>534</v>
      </c>
      <c r="B774" s="16"/>
      <c r="C774" s="351"/>
      <c r="D774" s="261"/>
      <c r="E774" s="285"/>
      <c r="F774" s="261"/>
      <c r="G774" s="271"/>
      <c r="H774" s="171"/>
      <c r="I774" s="149"/>
      <c r="J774" s="149"/>
    </row>
    <row r="775" spans="1:10" ht="12.75">
      <c r="A775" s="224">
        <v>543310</v>
      </c>
      <c r="B775" s="9" t="s">
        <v>329</v>
      </c>
      <c r="C775" s="347"/>
      <c r="D775" s="260"/>
      <c r="E775" s="266"/>
      <c r="F775" s="260"/>
      <c r="G775" s="266">
        <f aca="true" t="shared" si="17" ref="G775:G795">IF(E775&lt;&gt;C775,C775-E775,"")</f>
      </c>
      <c r="H775" s="41"/>
      <c r="I775" s="149"/>
      <c r="J775" s="149"/>
    </row>
    <row r="776" spans="1:10" ht="12.75">
      <c r="A776" s="224">
        <v>543312</v>
      </c>
      <c r="B776" s="9" t="s">
        <v>330</v>
      </c>
      <c r="C776" s="348"/>
      <c r="D776" s="260"/>
      <c r="E776" s="267"/>
      <c r="F776" s="260"/>
      <c r="G776" s="267">
        <f t="shared" si="17"/>
      </c>
      <c r="H776" s="41"/>
      <c r="I776" s="149"/>
      <c r="J776" s="149"/>
    </row>
    <row r="777" spans="1:10" ht="12.75">
      <c r="A777" s="224">
        <v>543314</v>
      </c>
      <c r="B777" s="9" t="s">
        <v>331</v>
      </c>
      <c r="C777" s="348"/>
      <c r="D777" s="260"/>
      <c r="E777" s="267"/>
      <c r="F777" s="260"/>
      <c r="G777" s="267">
        <f t="shared" si="17"/>
      </c>
      <c r="H777" s="41"/>
      <c r="I777" s="149"/>
      <c r="J777" s="149"/>
    </row>
    <row r="778" spans="1:10" ht="12.75">
      <c r="A778" s="224">
        <v>543320</v>
      </c>
      <c r="B778" s="9" t="s">
        <v>332</v>
      </c>
      <c r="C778" s="348"/>
      <c r="D778" s="260"/>
      <c r="E778" s="267"/>
      <c r="F778" s="260"/>
      <c r="G778" s="267">
        <f t="shared" si="17"/>
      </c>
      <c r="H778" s="41"/>
      <c r="I778" s="149"/>
      <c r="J778" s="149"/>
    </row>
    <row r="779" spans="1:10" ht="12.75">
      <c r="A779" s="224">
        <v>543321</v>
      </c>
      <c r="B779" s="9" t="s">
        <v>333</v>
      </c>
      <c r="C779" s="348"/>
      <c r="D779" s="260"/>
      <c r="E779" s="267"/>
      <c r="F779" s="260"/>
      <c r="G779" s="267">
        <f t="shared" si="17"/>
      </c>
      <c r="H779" s="41"/>
      <c r="I779" s="149"/>
      <c r="J779" s="149"/>
    </row>
    <row r="780" spans="1:10" ht="12.75">
      <c r="A780" s="224">
        <v>543322</v>
      </c>
      <c r="B780" s="9" t="s">
        <v>334</v>
      </c>
      <c r="C780" s="348"/>
      <c r="D780" s="260"/>
      <c r="E780" s="267"/>
      <c r="F780" s="260"/>
      <c r="G780" s="267">
        <f t="shared" si="17"/>
      </c>
      <c r="H780" s="41"/>
      <c r="I780" s="149"/>
      <c r="J780" s="149"/>
    </row>
    <row r="781" spans="1:10" ht="12.75">
      <c r="A781" s="224">
        <v>543323</v>
      </c>
      <c r="B781" s="9" t="s">
        <v>335</v>
      </c>
      <c r="C781" s="348"/>
      <c r="D781" s="260"/>
      <c r="E781" s="267"/>
      <c r="F781" s="260"/>
      <c r="G781" s="267">
        <f t="shared" si="17"/>
      </c>
      <c r="H781" s="41"/>
      <c r="I781" s="149"/>
      <c r="J781" s="149"/>
    </row>
    <row r="782" spans="1:10" ht="12.75">
      <c r="A782" s="224">
        <v>544095</v>
      </c>
      <c r="B782" s="9" t="s">
        <v>554</v>
      </c>
      <c r="C782" s="354"/>
      <c r="D782" s="260"/>
      <c r="E782" s="275"/>
      <c r="F782" s="260"/>
      <c r="G782" s="275">
        <f t="shared" si="17"/>
      </c>
      <c r="H782" s="41"/>
      <c r="I782" s="149"/>
      <c r="J782" s="149"/>
    </row>
    <row r="783" spans="1:10" ht="12.75">
      <c r="A783" s="224">
        <v>548301</v>
      </c>
      <c r="B783" s="9" t="s">
        <v>336</v>
      </c>
      <c r="C783" s="348"/>
      <c r="D783" s="260"/>
      <c r="E783" s="267"/>
      <c r="F783" s="260"/>
      <c r="G783" s="267">
        <f t="shared" si="17"/>
      </c>
      <c r="H783" s="41"/>
      <c r="I783" s="149"/>
      <c r="J783" s="149"/>
    </row>
    <row r="784" spans="1:10" ht="12.75">
      <c r="A784" s="224">
        <v>548320</v>
      </c>
      <c r="B784" s="12" t="s">
        <v>337</v>
      </c>
      <c r="C784" s="348"/>
      <c r="D784" s="260"/>
      <c r="E784" s="267"/>
      <c r="F784" s="260"/>
      <c r="G784" s="267">
        <f t="shared" si="17"/>
      </c>
      <c r="H784" s="41"/>
      <c r="I784" s="149"/>
      <c r="J784" s="149"/>
    </row>
    <row r="785" spans="1:10" ht="12.75">
      <c r="A785" s="224">
        <v>548321</v>
      </c>
      <c r="B785" s="9" t="s">
        <v>338</v>
      </c>
      <c r="C785" s="348"/>
      <c r="D785" s="260"/>
      <c r="E785" s="267"/>
      <c r="F785" s="260"/>
      <c r="G785" s="267">
        <f t="shared" si="17"/>
      </c>
      <c r="H785" s="41"/>
      <c r="I785" s="149"/>
      <c r="J785" s="149"/>
    </row>
    <row r="786" spans="1:10" ht="12.75">
      <c r="A786" s="224">
        <v>548322</v>
      </c>
      <c r="B786" s="9" t="s">
        <v>339</v>
      </c>
      <c r="C786" s="348"/>
      <c r="D786" s="260"/>
      <c r="E786" s="267"/>
      <c r="F786" s="260"/>
      <c r="G786" s="267">
        <f t="shared" si="17"/>
      </c>
      <c r="H786" s="41"/>
      <c r="I786" s="149"/>
      <c r="J786" s="149"/>
    </row>
    <row r="787" spans="1:10" ht="12.75">
      <c r="A787" s="224">
        <v>548330</v>
      </c>
      <c r="B787" s="9" t="s">
        <v>340</v>
      </c>
      <c r="C787" s="348"/>
      <c r="D787" s="260"/>
      <c r="E787" s="267"/>
      <c r="F787" s="260"/>
      <c r="G787" s="267">
        <f t="shared" si="17"/>
      </c>
      <c r="H787" s="41"/>
      <c r="I787" s="149"/>
      <c r="J787" s="149"/>
    </row>
    <row r="788" spans="1:10" ht="12.75">
      <c r="A788" s="224">
        <v>548350</v>
      </c>
      <c r="B788" s="9" t="s">
        <v>341</v>
      </c>
      <c r="C788" s="348"/>
      <c r="D788" s="260"/>
      <c r="E788" s="267"/>
      <c r="F788" s="260"/>
      <c r="G788" s="267">
        <f t="shared" si="17"/>
      </c>
      <c r="H788" s="41"/>
      <c r="I788" s="149"/>
      <c r="J788" s="149"/>
    </row>
    <row r="789" spans="1:10" ht="12.75">
      <c r="A789" s="224">
        <v>548351</v>
      </c>
      <c r="B789" s="9" t="s">
        <v>780</v>
      </c>
      <c r="C789" s="348"/>
      <c r="D789" s="260"/>
      <c r="E789" s="267"/>
      <c r="F789" s="260"/>
      <c r="G789" s="267">
        <f t="shared" si="17"/>
      </c>
      <c r="H789" s="41"/>
      <c r="I789" s="149"/>
      <c r="J789" s="149"/>
    </row>
    <row r="790" spans="1:10" ht="12.75">
      <c r="A790" s="224">
        <v>548380</v>
      </c>
      <c r="B790" s="9" t="s">
        <v>342</v>
      </c>
      <c r="C790" s="348"/>
      <c r="D790" s="260"/>
      <c r="E790" s="267"/>
      <c r="F790" s="260"/>
      <c r="G790" s="267">
        <f t="shared" si="17"/>
      </c>
      <c r="H790" s="41"/>
      <c r="I790" s="149"/>
      <c r="J790" s="149"/>
    </row>
    <row r="791" spans="1:10" ht="12.75">
      <c r="A791" s="224">
        <v>548390</v>
      </c>
      <c r="B791" s="9" t="s">
        <v>343</v>
      </c>
      <c r="C791" s="348"/>
      <c r="D791" s="260"/>
      <c r="E791" s="267"/>
      <c r="F791" s="260"/>
      <c r="G791" s="267">
        <f t="shared" si="17"/>
      </c>
      <c r="H791" s="41"/>
      <c r="I791" s="149"/>
      <c r="J791" s="149"/>
    </row>
    <row r="792" spans="1:10" ht="12.75">
      <c r="A792" s="224">
        <v>548391</v>
      </c>
      <c r="B792" s="9" t="s">
        <v>344</v>
      </c>
      <c r="C792" s="348"/>
      <c r="D792" s="260"/>
      <c r="E792" s="267"/>
      <c r="F792" s="260"/>
      <c r="G792" s="267">
        <f t="shared" si="17"/>
      </c>
      <c r="H792" s="41"/>
      <c r="I792" s="149"/>
      <c r="J792" s="149"/>
    </row>
    <row r="793" spans="1:10" ht="12.75">
      <c r="A793" s="224">
        <v>548392</v>
      </c>
      <c r="B793" s="9" t="s">
        <v>345</v>
      </c>
      <c r="C793" s="348"/>
      <c r="D793" s="260"/>
      <c r="E793" s="267"/>
      <c r="F793" s="260"/>
      <c r="G793" s="267">
        <f t="shared" si="17"/>
      </c>
      <c r="H793" s="41"/>
      <c r="I793" s="149"/>
      <c r="J793" s="149"/>
    </row>
    <row r="794" spans="1:10" ht="12.75">
      <c r="A794" s="224">
        <v>549027</v>
      </c>
      <c r="B794" s="9" t="s">
        <v>15</v>
      </c>
      <c r="C794" s="348"/>
      <c r="D794" s="260"/>
      <c r="E794" s="267"/>
      <c r="F794" s="260"/>
      <c r="G794" s="267">
        <f t="shared" si="17"/>
      </c>
      <c r="H794" s="41"/>
      <c r="I794" s="149"/>
      <c r="J794" s="149"/>
    </row>
    <row r="795" spans="1:10" ht="12.75">
      <c r="A795" s="224">
        <v>549069</v>
      </c>
      <c r="B795" s="218" t="s">
        <v>564</v>
      </c>
      <c r="C795" s="349"/>
      <c r="D795" s="260"/>
      <c r="E795" s="268"/>
      <c r="F795" s="260"/>
      <c r="G795" s="268">
        <f t="shared" si="17"/>
      </c>
      <c r="H795" s="41"/>
      <c r="I795" s="149"/>
      <c r="J795" s="149"/>
    </row>
    <row r="796" spans="1:10" ht="13.5" thickBot="1">
      <c r="A796" s="231" t="s">
        <v>401</v>
      </c>
      <c r="B796" s="6"/>
      <c r="C796" s="358">
        <f>SUM(C775:C795)</f>
        <v>0</v>
      </c>
      <c r="D796" s="260"/>
      <c r="E796" s="358">
        <v>0</v>
      </c>
      <c r="F796" s="260"/>
      <c r="G796" s="273">
        <f>SUM(G775:G795)</f>
        <v>0</v>
      </c>
      <c r="H796" s="41"/>
      <c r="I796" s="149"/>
      <c r="J796" s="149"/>
    </row>
    <row r="797" spans="1:10" ht="13.5" thickTop="1">
      <c r="A797" s="226"/>
      <c r="I797" s="149"/>
      <c r="J797" s="149"/>
    </row>
    <row r="798" spans="1:10" ht="15">
      <c r="A798" s="228" t="s">
        <v>535</v>
      </c>
      <c r="B798" s="16"/>
      <c r="C798" s="351"/>
      <c r="D798" s="261"/>
      <c r="E798" s="285"/>
      <c r="F798" s="261"/>
      <c r="G798" s="271"/>
      <c r="H798" s="171"/>
      <c r="I798" s="149"/>
      <c r="J798" s="149"/>
    </row>
    <row r="799" spans="1:10" ht="12.75">
      <c r="A799" s="224">
        <v>553410</v>
      </c>
      <c r="B799" s="13" t="s">
        <v>346</v>
      </c>
      <c r="C799" s="347"/>
      <c r="D799" s="260"/>
      <c r="E799" s="266"/>
      <c r="F799" s="260"/>
      <c r="G799" s="266">
        <f aca="true" t="shared" si="18" ref="G799:G824">IF(E799&lt;&gt;C799,C799-E799,"")</f>
      </c>
      <c r="H799" s="41"/>
      <c r="I799" s="149"/>
      <c r="J799" s="149"/>
    </row>
    <row r="800" spans="1:10" ht="12.75">
      <c r="A800" s="224">
        <v>553411</v>
      </c>
      <c r="B800" s="12" t="s">
        <v>347</v>
      </c>
      <c r="C800" s="348"/>
      <c r="D800" s="260"/>
      <c r="E800" s="267"/>
      <c r="F800" s="260"/>
      <c r="G800" s="267">
        <f t="shared" si="18"/>
      </c>
      <c r="H800" s="41"/>
      <c r="I800" s="149"/>
      <c r="J800" s="149"/>
    </row>
    <row r="801" spans="1:10" ht="12.75">
      <c r="A801" s="224">
        <v>553420</v>
      </c>
      <c r="B801" s="9" t="s">
        <v>348</v>
      </c>
      <c r="C801" s="348"/>
      <c r="D801" s="260"/>
      <c r="E801" s="267"/>
      <c r="F801" s="260"/>
      <c r="G801" s="267">
        <f t="shared" si="18"/>
      </c>
      <c r="H801" s="41"/>
      <c r="I801" s="149"/>
      <c r="J801" s="149"/>
    </row>
    <row r="802" spans="1:10" ht="12.75">
      <c r="A802" s="224">
        <v>553421</v>
      </c>
      <c r="B802" s="12" t="s">
        <v>349</v>
      </c>
      <c r="C802" s="348"/>
      <c r="D802" s="260"/>
      <c r="E802" s="267"/>
      <c r="F802" s="260"/>
      <c r="G802" s="267">
        <f t="shared" si="18"/>
      </c>
      <c r="H802" s="41"/>
      <c r="I802" s="149"/>
      <c r="J802" s="149"/>
    </row>
    <row r="803" spans="1:10" ht="12.75">
      <c r="A803" s="224">
        <v>554092</v>
      </c>
      <c r="B803" s="9" t="s">
        <v>590</v>
      </c>
      <c r="C803" s="348"/>
      <c r="D803" s="260"/>
      <c r="E803" s="267"/>
      <c r="F803" s="260"/>
      <c r="G803" s="267">
        <f t="shared" si="18"/>
      </c>
      <c r="H803" s="41"/>
      <c r="I803" s="149"/>
      <c r="J803" s="149"/>
    </row>
    <row r="804" spans="1:10" ht="12.75">
      <c r="A804" s="224">
        <v>554095</v>
      </c>
      <c r="B804" s="9" t="s">
        <v>554</v>
      </c>
      <c r="C804" s="354"/>
      <c r="D804" s="260"/>
      <c r="E804" s="275"/>
      <c r="F804" s="260"/>
      <c r="G804" s="275">
        <f t="shared" si="18"/>
      </c>
      <c r="H804" s="41"/>
      <c r="I804" s="149"/>
      <c r="J804" s="149"/>
    </row>
    <row r="805" spans="1:10" ht="12.75">
      <c r="A805" s="224">
        <v>558401</v>
      </c>
      <c r="B805" s="9" t="s">
        <v>351</v>
      </c>
      <c r="C805" s="348"/>
      <c r="D805" s="260"/>
      <c r="E805" s="267"/>
      <c r="F805" s="260"/>
      <c r="G805" s="267">
        <f t="shared" si="18"/>
      </c>
      <c r="H805" s="41"/>
      <c r="I805" s="149"/>
      <c r="J805" s="149"/>
    </row>
    <row r="806" spans="1:10" ht="12.75">
      <c r="A806" s="224">
        <v>558420</v>
      </c>
      <c r="B806" s="9" t="s">
        <v>350</v>
      </c>
      <c r="C806" s="348"/>
      <c r="D806" s="260"/>
      <c r="E806" s="267"/>
      <c r="F806" s="260"/>
      <c r="G806" s="267">
        <f t="shared" si="18"/>
      </c>
      <c r="H806" s="41"/>
      <c r="I806" s="149"/>
      <c r="J806" s="149"/>
    </row>
    <row r="807" spans="1:10" ht="12.75">
      <c r="A807" s="224">
        <v>558421</v>
      </c>
      <c r="B807" s="9" t="s">
        <v>352</v>
      </c>
      <c r="C807" s="348"/>
      <c r="D807" s="260"/>
      <c r="E807" s="267"/>
      <c r="F807" s="260"/>
      <c r="G807" s="267">
        <f t="shared" si="18"/>
      </c>
      <c r="H807" s="41"/>
      <c r="I807" s="149"/>
      <c r="J807" s="149"/>
    </row>
    <row r="808" spans="1:10" ht="12.75">
      <c r="A808" s="224">
        <v>558422</v>
      </c>
      <c r="B808" s="9" t="s">
        <v>353</v>
      </c>
      <c r="C808" s="348"/>
      <c r="D808" s="260"/>
      <c r="E808" s="267"/>
      <c r="F808" s="260"/>
      <c r="G808" s="267">
        <f t="shared" si="18"/>
      </c>
      <c r="H808" s="41"/>
      <c r="I808" s="149"/>
      <c r="J808" s="149"/>
    </row>
    <row r="809" spans="1:10" ht="12.75">
      <c r="A809" s="224">
        <v>558430</v>
      </c>
      <c r="B809" s="9" t="s">
        <v>354</v>
      </c>
      <c r="C809" s="348"/>
      <c r="D809" s="260"/>
      <c r="E809" s="267"/>
      <c r="F809" s="260"/>
      <c r="G809" s="267">
        <f t="shared" si="18"/>
      </c>
      <c r="H809" s="41"/>
      <c r="I809" s="149"/>
      <c r="J809" s="149"/>
    </row>
    <row r="810" spans="1:10" ht="12.75">
      <c r="A810" s="224">
        <v>558571</v>
      </c>
      <c r="B810" s="9" t="s">
        <v>355</v>
      </c>
      <c r="C810" s="348"/>
      <c r="D810" s="260"/>
      <c r="E810" s="267"/>
      <c r="F810" s="260"/>
      <c r="G810" s="267">
        <f t="shared" si="18"/>
      </c>
      <c r="H810" s="41"/>
      <c r="I810" s="149"/>
      <c r="J810" s="149"/>
    </row>
    <row r="811" spans="1:10" ht="12.75">
      <c r="A811" s="224">
        <v>558580</v>
      </c>
      <c r="B811" s="9" t="s">
        <v>356</v>
      </c>
      <c r="C811" s="348"/>
      <c r="D811" s="260"/>
      <c r="E811" s="267"/>
      <c r="F811" s="260"/>
      <c r="G811" s="267">
        <f t="shared" si="18"/>
      </c>
      <c r="H811" s="41"/>
      <c r="I811" s="149"/>
      <c r="J811" s="149"/>
    </row>
    <row r="812" spans="1:10" ht="12.75">
      <c r="A812" s="224">
        <v>559010</v>
      </c>
      <c r="B812" s="9" t="s">
        <v>556</v>
      </c>
      <c r="C812" s="348"/>
      <c r="D812" s="260"/>
      <c r="E812" s="267"/>
      <c r="F812" s="260"/>
      <c r="G812" s="267">
        <f t="shared" si="18"/>
      </c>
      <c r="H812" s="41"/>
      <c r="I812" s="149"/>
      <c r="J812" s="149"/>
    </row>
    <row r="813" spans="1:10" ht="12.75">
      <c r="A813" s="224">
        <v>559011</v>
      </c>
      <c r="B813" s="9" t="s">
        <v>11</v>
      </c>
      <c r="C813" s="348"/>
      <c r="D813" s="260"/>
      <c r="E813" s="267"/>
      <c r="F813" s="260"/>
      <c r="G813" s="267">
        <f t="shared" si="18"/>
      </c>
      <c r="H813" s="41"/>
      <c r="I813" s="149"/>
      <c r="J813" s="149"/>
    </row>
    <row r="814" spans="1:10" ht="12.75">
      <c r="A814" s="224">
        <v>559013</v>
      </c>
      <c r="B814" s="9" t="s">
        <v>557</v>
      </c>
      <c r="C814" s="348"/>
      <c r="D814" s="260"/>
      <c r="E814" s="267"/>
      <c r="F814" s="260"/>
      <c r="G814" s="267">
        <f t="shared" si="18"/>
      </c>
      <c r="H814" s="41"/>
      <c r="I814" s="149"/>
      <c r="J814" s="149"/>
    </row>
    <row r="815" spans="1:10" ht="12.75">
      <c r="A815" s="224">
        <v>559020</v>
      </c>
      <c r="B815" s="9" t="s">
        <v>13</v>
      </c>
      <c r="C815" s="348"/>
      <c r="D815" s="260"/>
      <c r="E815" s="267"/>
      <c r="F815" s="260"/>
      <c r="G815" s="267">
        <f t="shared" si="18"/>
      </c>
      <c r="H815" s="41"/>
      <c r="I815" s="149"/>
      <c r="J815" s="149"/>
    </row>
    <row r="816" spans="1:10" ht="12.75">
      <c r="A816" s="224">
        <v>559021</v>
      </c>
      <c r="B816" s="9" t="s">
        <v>14</v>
      </c>
      <c r="C816" s="348"/>
      <c r="D816" s="260"/>
      <c r="E816" s="267"/>
      <c r="F816" s="260"/>
      <c r="G816" s="267">
        <f t="shared" si="18"/>
      </c>
      <c r="H816" s="41"/>
      <c r="I816" s="149"/>
      <c r="J816" s="149"/>
    </row>
    <row r="817" spans="1:10" ht="12.75">
      <c r="A817" s="224">
        <v>559022</v>
      </c>
      <c r="B817" s="9" t="s">
        <v>558</v>
      </c>
      <c r="C817" s="348"/>
      <c r="D817" s="260"/>
      <c r="E817" s="267"/>
      <c r="F817" s="260"/>
      <c r="G817" s="267">
        <f t="shared" si="18"/>
      </c>
      <c r="H817" s="41"/>
      <c r="I817" s="149"/>
      <c r="J817" s="149"/>
    </row>
    <row r="818" spans="1:10" ht="12.75">
      <c r="A818" s="224">
        <v>559023</v>
      </c>
      <c r="B818" s="9" t="s">
        <v>559</v>
      </c>
      <c r="C818" s="348"/>
      <c r="D818" s="260"/>
      <c r="E818" s="267"/>
      <c r="F818" s="260"/>
      <c r="G818" s="267">
        <f t="shared" si="18"/>
      </c>
      <c r="H818" s="41"/>
      <c r="I818" s="149"/>
      <c r="J818" s="149"/>
    </row>
    <row r="819" spans="1:10" ht="12.75">
      <c r="A819" s="224">
        <v>559024</v>
      </c>
      <c r="B819" s="9" t="s">
        <v>274</v>
      </c>
      <c r="C819" s="348"/>
      <c r="D819" s="260"/>
      <c r="E819" s="267"/>
      <c r="F819" s="260"/>
      <c r="G819" s="267">
        <f t="shared" si="18"/>
      </c>
      <c r="H819" s="41"/>
      <c r="I819" s="149"/>
      <c r="J819" s="149"/>
    </row>
    <row r="820" spans="1:10" ht="12.75">
      <c r="A820" s="224">
        <v>559025</v>
      </c>
      <c r="B820" s="9" t="s">
        <v>560</v>
      </c>
      <c r="C820" s="348"/>
      <c r="D820" s="260"/>
      <c r="E820" s="267"/>
      <c r="F820" s="260"/>
      <c r="G820" s="267">
        <f t="shared" si="18"/>
      </c>
      <c r="H820" s="41"/>
      <c r="I820" s="149"/>
      <c r="J820" s="149"/>
    </row>
    <row r="821" spans="1:10" ht="12.75">
      <c r="A821" s="224">
        <v>559026</v>
      </c>
      <c r="B821" s="9" t="s">
        <v>275</v>
      </c>
      <c r="C821" s="348"/>
      <c r="D821" s="260"/>
      <c r="E821" s="267"/>
      <c r="F821" s="260"/>
      <c r="G821" s="267">
        <f t="shared" si="18"/>
      </c>
      <c r="H821" s="41"/>
      <c r="I821" s="149"/>
      <c r="J821" s="149"/>
    </row>
    <row r="822" spans="1:10" ht="12.75">
      <c r="A822" s="224">
        <v>559027</v>
      </c>
      <c r="B822" s="9" t="s">
        <v>15</v>
      </c>
      <c r="C822" s="348"/>
      <c r="D822" s="260"/>
      <c r="E822" s="267"/>
      <c r="F822" s="260"/>
      <c r="G822" s="267">
        <f t="shared" si="18"/>
      </c>
      <c r="H822" s="41"/>
      <c r="I822" s="149"/>
      <c r="J822" s="149"/>
    </row>
    <row r="823" spans="1:10" ht="12.75">
      <c r="A823" s="224">
        <v>559029</v>
      </c>
      <c r="B823" s="9" t="s">
        <v>561</v>
      </c>
      <c r="C823" s="348"/>
      <c r="D823" s="260"/>
      <c r="E823" s="267"/>
      <c r="F823" s="260"/>
      <c r="G823" s="267">
        <f t="shared" si="18"/>
      </c>
      <c r="H823" s="41"/>
      <c r="I823" s="149"/>
      <c r="J823" s="149"/>
    </row>
    <row r="824" spans="1:10" ht="12.75">
      <c r="A824" s="224">
        <v>559069</v>
      </c>
      <c r="B824" s="218" t="s">
        <v>564</v>
      </c>
      <c r="C824" s="349"/>
      <c r="D824" s="260"/>
      <c r="E824" s="268"/>
      <c r="F824" s="260"/>
      <c r="G824" s="268">
        <f t="shared" si="18"/>
      </c>
      <c r="H824" s="41"/>
      <c r="I824" s="149"/>
      <c r="J824" s="149"/>
    </row>
    <row r="825" spans="1:10" ht="13.5" thickBot="1">
      <c r="A825" s="231" t="s">
        <v>401</v>
      </c>
      <c r="B825" s="6"/>
      <c r="C825" s="358">
        <f>SUM(C799:C824)</f>
        <v>0</v>
      </c>
      <c r="D825" s="260"/>
      <c r="E825" s="358">
        <v>0</v>
      </c>
      <c r="F825" s="260"/>
      <c r="G825" s="273">
        <f>SUM(G799:G824)</f>
        <v>0</v>
      </c>
      <c r="H825" s="41"/>
      <c r="I825" s="149"/>
      <c r="J825" s="149"/>
    </row>
    <row r="826" spans="1:10" ht="13.5" thickTop="1">
      <c r="A826" s="226"/>
      <c r="I826" s="149"/>
      <c r="J826" s="149"/>
    </row>
    <row r="827" spans="1:10" ht="15">
      <c r="A827" s="228" t="s">
        <v>822</v>
      </c>
      <c r="B827" s="16"/>
      <c r="C827" s="351"/>
      <c r="D827" s="261"/>
      <c r="E827" s="285"/>
      <c r="F827" s="261"/>
      <c r="G827" s="271"/>
      <c r="H827" s="171"/>
      <c r="I827" s="149"/>
      <c r="J827" s="149"/>
    </row>
    <row r="828" spans="1:10" ht="12.75">
      <c r="A828" s="595">
        <v>568501</v>
      </c>
      <c r="B828" s="596" t="s">
        <v>357</v>
      </c>
      <c r="C828" s="347"/>
      <c r="D828" s="260"/>
      <c r="E828" s="266"/>
      <c r="F828" s="260"/>
      <c r="G828" s="266">
        <f aca="true" t="shared" si="19" ref="G828:G870">IF(E828&lt;&gt;C828,C828-E828,"")</f>
      </c>
      <c r="H828" s="41"/>
      <c r="I828" s="149"/>
      <c r="J828" s="149"/>
    </row>
    <row r="829" spans="1:10" ht="12.75">
      <c r="A829" s="595">
        <v>568510</v>
      </c>
      <c r="B829" s="596" t="s">
        <v>272</v>
      </c>
      <c r="C829" s="348"/>
      <c r="D829" s="260"/>
      <c r="E829" s="267"/>
      <c r="F829" s="260"/>
      <c r="G829" s="267">
        <f t="shared" si="19"/>
      </c>
      <c r="H829" s="41"/>
      <c r="I829" s="149"/>
      <c r="J829" s="149"/>
    </row>
    <row r="830" spans="1:10" ht="12.75">
      <c r="A830" s="595">
        <v>568511</v>
      </c>
      <c r="B830" s="596" t="s">
        <v>181</v>
      </c>
      <c r="C830" s="348"/>
      <c r="D830" s="260"/>
      <c r="E830" s="267"/>
      <c r="F830" s="260"/>
      <c r="G830" s="267">
        <f t="shared" si="19"/>
      </c>
      <c r="H830" s="41"/>
      <c r="I830" s="149"/>
      <c r="J830" s="149"/>
    </row>
    <row r="831" spans="1:10" ht="12.75">
      <c r="A831" s="595">
        <v>568514</v>
      </c>
      <c r="B831" s="596" t="s">
        <v>792</v>
      </c>
      <c r="C831" s="348"/>
      <c r="D831" s="260"/>
      <c r="E831" s="267"/>
      <c r="F831" s="260"/>
      <c r="G831" s="267">
        <f t="shared" si="19"/>
      </c>
      <c r="H831" s="41"/>
      <c r="I831" s="149"/>
      <c r="J831" s="149"/>
    </row>
    <row r="832" spans="1:10" ht="12.75">
      <c r="A832" s="595">
        <v>568515</v>
      </c>
      <c r="B832" s="596" t="s">
        <v>784</v>
      </c>
      <c r="C832" s="348"/>
      <c r="D832" s="260"/>
      <c r="E832" s="267"/>
      <c r="F832" s="260"/>
      <c r="G832" s="267">
        <f aca="true" t="shared" si="20" ref="G832:G846">IF(E832&lt;&gt;C832,C832-E832,"")</f>
      </c>
      <c r="H832" s="41"/>
      <c r="I832" s="149"/>
      <c r="J832" s="149"/>
    </row>
    <row r="833" spans="1:10" ht="12.75">
      <c r="A833" s="595">
        <v>568516</v>
      </c>
      <c r="B833" s="596" t="s">
        <v>793</v>
      </c>
      <c r="C833" s="348"/>
      <c r="D833" s="260"/>
      <c r="E833" s="267"/>
      <c r="F833" s="260"/>
      <c r="G833" s="267">
        <f t="shared" si="20"/>
      </c>
      <c r="H833" s="41"/>
      <c r="I833" s="149"/>
      <c r="J833" s="149"/>
    </row>
    <row r="834" spans="1:10" ht="12.75">
      <c r="A834" s="595">
        <v>568520</v>
      </c>
      <c r="B834" s="596" t="s">
        <v>794</v>
      </c>
      <c r="C834" s="348"/>
      <c r="D834" s="260"/>
      <c r="E834" s="267"/>
      <c r="F834" s="260"/>
      <c r="G834" s="267">
        <f t="shared" si="20"/>
      </c>
      <c r="H834" s="41"/>
      <c r="I834" s="149"/>
      <c r="J834" s="149"/>
    </row>
    <row r="835" spans="1:10" ht="12.75">
      <c r="A835" s="595">
        <v>568521</v>
      </c>
      <c r="B835" s="596" t="s">
        <v>795</v>
      </c>
      <c r="C835" s="348"/>
      <c r="D835" s="260"/>
      <c r="E835" s="267"/>
      <c r="F835" s="260"/>
      <c r="G835" s="267">
        <f t="shared" si="20"/>
      </c>
      <c r="H835" s="41"/>
      <c r="I835" s="149"/>
      <c r="J835" s="149"/>
    </row>
    <row r="836" spans="1:10" ht="12.75">
      <c r="A836" s="595">
        <v>568522</v>
      </c>
      <c r="B836" s="596" t="s">
        <v>796</v>
      </c>
      <c r="C836" s="348"/>
      <c r="D836" s="260"/>
      <c r="E836" s="267"/>
      <c r="F836" s="260"/>
      <c r="G836" s="267">
        <f t="shared" si="20"/>
      </c>
      <c r="H836" s="41"/>
      <c r="I836" s="149"/>
      <c r="J836" s="149"/>
    </row>
    <row r="837" spans="1:10" ht="12.75">
      <c r="A837" s="595">
        <v>568530</v>
      </c>
      <c r="B837" s="596" t="s">
        <v>797</v>
      </c>
      <c r="C837" s="348"/>
      <c r="D837" s="260"/>
      <c r="E837" s="267"/>
      <c r="F837" s="260"/>
      <c r="G837" s="267">
        <f t="shared" si="20"/>
      </c>
      <c r="H837" s="41"/>
      <c r="I837" s="149"/>
      <c r="J837" s="149"/>
    </row>
    <row r="838" spans="1:10" ht="12.75">
      <c r="A838" s="595">
        <v>568532</v>
      </c>
      <c r="B838" s="596" t="s">
        <v>798</v>
      </c>
      <c r="C838" s="348"/>
      <c r="D838" s="260"/>
      <c r="E838" s="267"/>
      <c r="F838" s="260"/>
      <c r="G838" s="267">
        <f t="shared" si="20"/>
      </c>
      <c r="H838" s="41"/>
      <c r="I838" s="149"/>
      <c r="J838" s="149"/>
    </row>
    <row r="839" spans="1:10" ht="12.75">
      <c r="A839" s="595">
        <v>568533</v>
      </c>
      <c r="B839" s="596" t="s">
        <v>799</v>
      </c>
      <c r="C839" s="348"/>
      <c r="D839" s="260"/>
      <c r="E839" s="267"/>
      <c r="F839" s="260"/>
      <c r="G839" s="267">
        <f t="shared" si="20"/>
      </c>
      <c r="H839" s="41"/>
      <c r="I839" s="149"/>
      <c r="J839" s="149"/>
    </row>
    <row r="840" spans="1:10" ht="12.75">
      <c r="A840" s="595">
        <v>568536</v>
      </c>
      <c r="B840" s="596" t="s">
        <v>800</v>
      </c>
      <c r="C840" s="348"/>
      <c r="D840" s="260"/>
      <c r="E840" s="267"/>
      <c r="F840" s="260"/>
      <c r="G840" s="267">
        <f t="shared" si="20"/>
      </c>
      <c r="H840" s="41"/>
      <c r="I840" s="149"/>
      <c r="J840" s="149"/>
    </row>
    <row r="841" spans="1:10" ht="12.75">
      <c r="A841" s="595">
        <v>568537</v>
      </c>
      <c r="B841" s="596" t="s">
        <v>801</v>
      </c>
      <c r="C841" s="348"/>
      <c r="D841" s="260"/>
      <c r="E841" s="267"/>
      <c r="F841" s="260"/>
      <c r="G841" s="267">
        <f t="shared" si="20"/>
      </c>
      <c r="H841" s="41"/>
      <c r="I841" s="149"/>
      <c r="J841" s="149"/>
    </row>
    <row r="842" spans="1:10" ht="12.75">
      <c r="A842" s="595">
        <v>568539</v>
      </c>
      <c r="B842" s="596" t="s">
        <v>802</v>
      </c>
      <c r="C842" s="348"/>
      <c r="D842" s="260"/>
      <c r="E842" s="267"/>
      <c r="F842" s="260"/>
      <c r="G842" s="267">
        <f t="shared" si="20"/>
      </c>
      <c r="H842" s="41"/>
      <c r="I842" s="149"/>
      <c r="J842" s="149"/>
    </row>
    <row r="843" spans="1:10" ht="12.75">
      <c r="A843" s="595">
        <v>568542</v>
      </c>
      <c r="B843" s="596" t="s">
        <v>803</v>
      </c>
      <c r="C843" s="348"/>
      <c r="D843" s="260"/>
      <c r="E843" s="267"/>
      <c r="F843" s="260"/>
      <c r="G843" s="267">
        <f t="shared" si="20"/>
      </c>
      <c r="H843" s="41"/>
      <c r="I843" s="149"/>
      <c r="J843" s="149"/>
    </row>
    <row r="844" spans="1:10" ht="12.75">
      <c r="A844" s="595">
        <v>568544</v>
      </c>
      <c r="B844" s="596" t="s">
        <v>804</v>
      </c>
      <c r="C844" s="348"/>
      <c r="D844" s="260"/>
      <c r="E844" s="267"/>
      <c r="F844" s="260"/>
      <c r="G844" s="267">
        <f t="shared" si="20"/>
      </c>
      <c r="H844" s="41"/>
      <c r="I844" s="149"/>
      <c r="J844" s="149"/>
    </row>
    <row r="845" spans="1:10" ht="12.75">
      <c r="A845" s="595">
        <v>568551</v>
      </c>
      <c r="B845" s="596" t="s">
        <v>358</v>
      </c>
      <c r="C845" s="348"/>
      <c r="D845" s="260"/>
      <c r="E845" s="267"/>
      <c r="F845" s="260"/>
      <c r="G845" s="267">
        <f t="shared" si="20"/>
      </c>
      <c r="H845" s="41"/>
      <c r="I845" s="149"/>
      <c r="J845" s="149"/>
    </row>
    <row r="846" spans="1:10" ht="12.75">
      <c r="A846" s="595">
        <v>568553</v>
      </c>
      <c r="B846" s="597" t="s">
        <v>805</v>
      </c>
      <c r="C846" s="348"/>
      <c r="D846" s="260"/>
      <c r="E846" s="267"/>
      <c r="F846" s="260"/>
      <c r="G846" s="267">
        <f t="shared" si="20"/>
      </c>
      <c r="H846" s="41"/>
      <c r="I846" s="149"/>
      <c r="J846" s="149"/>
    </row>
    <row r="847" spans="1:10" ht="12.75">
      <c r="A847" s="595">
        <v>568554</v>
      </c>
      <c r="B847" s="596" t="s">
        <v>806</v>
      </c>
      <c r="C847" s="348"/>
      <c r="D847" s="260"/>
      <c r="E847" s="267"/>
      <c r="F847" s="260"/>
      <c r="G847" s="267">
        <f t="shared" si="19"/>
      </c>
      <c r="H847" s="41"/>
      <c r="I847" s="149"/>
      <c r="J847" s="149"/>
    </row>
    <row r="848" spans="1:10" ht="12.75">
      <c r="A848" s="595">
        <v>568557</v>
      </c>
      <c r="B848" s="596" t="s">
        <v>807</v>
      </c>
      <c r="C848" s="348"/>
      <c r="D848" s="260"/>
      <c r="E848" s="267"/>
      <c r="F848" s="260"/>
      <c r="G848" s="267">
        <f t="shared" si="19"/>
      </c>
      <c r="H848" s="41"/>
      <c r="I848" s="149"/>
      <c r="J848" s="149"/>
    </row>
    <row r="849" spans="1:10" ht="12.75">
      <c r="A849" s="595">
        <v>568560</v>
      </c>
      <c r="B849" s="596" t="s">
        <v>808</v>
      </c>
      <c r="C849" s="348"/>
      <c r="D849" s="260"/>
      <c r="E849" s="267"/>
      <c r="F849" s="260"/>
      <c r="G849" s="267">
        <f t="shared" si="19"/>
      </c>
      <c r="H849" s="41"/>
      <c r="I849" s="149"/>
      <c r="J849" s="149"/>
    </row>
    <row r="850" spans="1:10" ht="12.75">
      <c r="A850" s="595">
        <v>568561</v>
      </c>
      <c r="B850" s="596" t="s">
        <v>809</v>
      </c>
      <c r="C850" s="348"/>
      <c r="D850" s="260"/>
      <c r="E850" s="267"/>
      <c r="F850" s="260"/>
      <c r="G850" s="267">
        <f t="shared" si="19"/>
      </c>
      <c r="H850" s="41"/>
      <c r="I850" s="149"/>
      <c r="J850" s="149"/>
    </row>
    <row r="851" spans="1:10" ht="12.75">
      <c r="A851" s="595">
        <v>568562</v>
      </c>
      <c r="B851" s="597" t="s">
        <v>785</v>
      </c>
      <c r="C851" s="348"/>
      <c r="D851" s="260"/>
      <c r="E851" s="267"/>
      <c r="F851" s="260"/>
      <c r="G851" s="267">
        <f t="shared" si="19"/>
      </c>
      <c r="H851" s="41"/>
      <c r="I851" s="149"/>
      <c r="J851" s="149"/>
    </row>
    <row r="852" spans="1:10" ht="12.75">
      <c r="A852" s="595">
        <v>568563</v>
      </c>
      <c r="B852" s="596" t="s">
        <v>786</v>
      </c>
      <c r="C852" s="348"/>
      <c r="D852" s="260"/>
      <c r="E852" s="267"/>
      <c r="F852" s="260"/>
      <c r="G852" s="267">
        <f t="shared" si="19"/>
      </c>
      <c r="H852" s="41"/>
      <c r="I852" s="149"/>
      <c r="J852" s="149"/>
    </row>
    <row r="853" spans="1:10" ht="12.75">
      <c r="A853" s="595">
        <v>568564</v>
      </c>
      <c r="B853" s="596" t="s">
        <v>787</v>
      </c>
      <c r="C853" s="348"/>
      <c r="D853" s="260"/>
      <c r="E853" s="267"/>
      <c r="F853" s="260"/>
      <c r="G853" s="267">
        <f t="shared" si="19"/>
      </c>
      <c r="H853" s="41"/>
      <c r="I853" s="149"/>
      <c r="J853" s="149"/>
    </row>
    <row r="854" spans="1:10" ht="12.75">
      <c r="A854" s="595">
        <v>568566</v>
      </c>
      <c r="B854" s="596" t="s">
        <v>810</v>
      </c>
      <c r="C854" s="348"/>
      <c r="D854" s="260"/>
      <c r="E854" s="267"/>
      <c r="F854" s="260"/>
      <c r="G854" s="267">
        <f t="shared" si="19"/>
      </c>
      <c r="H854" s="41"/>
      <c r="I854" s="149"/>
      <c r="J854" s="149"/>
    </row>
    <row r="855" spans="1:10" ht="12.75">
      <c r="A855" s="595">
        <v>568568</v>
      </c>
      <c r="B855" s="596" t="s">
        <v>788</v>
      </c>
      <c r="C855" s="348"/>
      <c r="D855" s="260"/>
      <c r="E855" s="267"/>
      <c r="F855" s="260"/>
      <c r="G855" s="267">
        <f t="shared" si="19"/>
      </c>
      <c r="H855" s="41"/>
      <c r="I855" s="149"/>
      <c r="J855" s="149"/>
    </row>
    <row r="856" spans="1:10" ht="12.75">
      <c r="A856" s="595">
        <v>568569</v>
      </c>
      <c r="B856" s="597" t="s">
        <v>811</v>
      </c>
      <c r="C856" s="348"/>
      <c r="D856" s="260"/>
      <c r="E856" s="267"/>
      <c r="F856" s="260"/>
      <c r="G856" s="267">
        <f t="shared" si="19"/>
      </c>
      <c r="H856" s="41"/>
      <c r="I856" s="149"/>
      <c r="J856" s="149"/>
    </row>
    <row r="857" spans="1:10" ht="12.75">
      <c r="A857" s="595">
        <v>568570</v>
      </c>
      <c r="B857" s="596" t="s">
        <v>356</v>
      </c>
      <c r="C857" s="348"/>
      <c r="D857" s="260"/>
      <c r="E857" s="267"/>
      <c r="F857" s="260"/>
      <c r="G857" s="267">
        <f t="shared" si="19"/>
      </c>
      <c r="H857" s="41"/>
      <c r="I857" s="149"/>
      <c r="J857" s="149"/>
    </row>
    <row r="858" spans="1:10" ht="12.75">
      <c r="A858" s="595">
        <v>568571</v>
      </c>
      <c r="B858" s="596" t="s">
        <v>273</v>
      </c>
      <c r="C858" s="348"/>
      <c r="D858" s="260"/>
      <c r="E858" s="267"/>
      <c r="F858" s="260"/>
      <c r="G858" s="267">
        <f t="shared" si="19"/>
      </c>
      <c r="H858" s="41"/>
      <c r="I858" s="149"/>
      <c r="J858" s="149"/>
    </row>
    <row r="859" spans="1:10" ht="12.75">
      <c r="A859" s="595">
        <v>568573</v>
      </c>
      <c r="B859" s="596" t="s">
        <v>812</v>
      </c>
      <c r="C859" s="348"/>
      <c r="D859" s="260"/>
      <c r="E859" s="267"/>
      <c r="F859" s="260"/>
      <c r="G859" s="267">
        <f t="shared" si="19"/>
      </c>
      <c r="H859" s="41"/>
      <c r="I859" s="149"/>
      <c r="J859" s="149"/>
    </row>
    <row r="860" spans="1:10" ht="12.75">
      <c r="A860" s="595">
        <v>568574</v>
      </c>
      <c r="B860" s="596" t="s">
        <v>813</v>
      </c>
      <c r="C860" s="348"/>
      <c r="D860" s="260"/>
      <c r="E860" s="267"/>
      <c r="F860" s="260"/>
      <c r="G860" s="267">
        <f t="shared" si="19"/>
      </c>
      <c r="H860" s="41"/>
      <c r="I860" s="149"/>
      <c r="J860" s="149"/>
    </row>
    <row r="861" spans="1:10" ht="12.75">
      <c r="A861" s="595">
        <v>568575</v>
      </c>
      <c r="B861" s="596" t="s">
        <v>814</v>
      </c>
      <c r="C861" s="348"/>
      <c r="D861" s="260"/>
      <c r="E861" s="267"/>
      <c r="F861" s="260"/>
      <c r="G861" s="267">
        <f t="shared" si="19"/>
      </c>
      <c r="H861" s="41"/>
      <c r="I861" s="149"/>
      <c r="J861" s="149"/>
    </row>
    <row r="862" spans="1:10" ht="12.75">
      <c r="A862" s="595">
        <v>568577</v>
      </c>
      <c r="B862" s="596" t="s">
        <v>815</v>
      </c>
      <c r="C862" s="348"/>
      <c r="D862" s="260"/>
      <c r="E862" s="267"/>
      <c r="F862" s="260"/>
      <c r="G862" s="267">
        <f t="shared" si="19"/>
      </c>
      <c r="H862" s="41"/>
      <c r="I862" s="149"/>
      <c r="J862" s="149"/>
    </row>
    <row r="863" spans="1:10" ht="12.75">
      <c r="A863" s="595">
        <v>568580</v>
      </c>
      <c r="B863" s="596" t="s">
        <v>816</v>
      </c>
      <c r="C863" s="348"/>
      <c r="D863" s="260"/>
      <c r="E863" s="267"/>
      <c r="F863" s="260"/>
      <c r="G863" s="267">
        <f t="shared" si="19"/>
      </c>
      <c r="H863" s="41"/>
      <c r="I863" s="149"/>
      <c r="J863" s="149"/>
    </row>
    <row r="864" spans="1:10" ht="12.75">
      <c r="A864" s="595">
        <v>568591</v>
      </c>
      <c r="B864" s="597" t="s">
        <v>817</v>
      </c>
      <c r="C864" s="348"/>
      <c r="D864" s="260"/>
      <c r="E864" s="267"/>
      <c r="F864" s="260"/>
      <c r="G864" s="267">
        <f t="shared" si="19"/>
      </c>
      <c r="H864" s="41"/>
      <c r="I864" s="149"/>
      <c r="J864" s="149"/>
    </row>
    <row r="865" spans="1:10" ht="12.75">
      <c r="A865" s="595">
        <v>568592</v>
      </c>
      <c r="B865" s="596" t="s">
        <v>293</v>
      </c>
      <c r="C865" s="348"/>
      <c r="D865" s="260"/>
      <c r="E865" s="267"/>
      <c r="F865" s="260"/>
      <c r="G865" s="267">
        <f t="shared" si="19"/>
      </c>
      <c r="H865" s="41"/>
      <c r="I865" s="149"/>
      <c r="J865" s="149"/>
    </row>
    <row r="866" spans="1:10" ht="12.75">
      <c r="A866" s="595">
        <v>568594</v>
      </c>
      <c r="B866" s="596" t="s">
        <v>818</v>
      </c>
      <c r="C866" s="348"/>
      <c r="D866" s="260"/>
      <c r="E866" s="267"/>
      <c r="F866" s="260"/>
      <c r="G866" s="267">
        <f t="shared" si="19"/>
      </c>
      <c r="H866" s="41"/>
      <c r="I866" s="149"/>
      <c r="J866" s="149"/>
    </row>
    <row r="867" spans="1:10" ht="12.75">
      <c r="A867" s="595">
        <v>568595</v>
      </c>
      <c r="B867" s="596" t="s">
        <v>819</v>
      </c>
      <c r="C867" s="348"/>
      <c r="D867" s="260"/>
      <c r="E867" s="267"/>
      <c r="F867" s="260"/>
      <c r="G867" s="267">
        <f t="shared" si="19"/>
      </c>
      <c r="H867" s="41"/>
      <c r="I867" s="149"/>
      <c r="J867" s="149"/>
    </row>
    <row r="868" spans="1:10" ht="12.75">
      <c r="A868" s="595">
        <v>568597</v>
      </c>
      <c r="B868" s="596" t="s">
        <v>790</v>
      </c>
      <c r="C868" s="348"/>
      <c r="D868" s="260"/>
      <c r="E868" s="267"/>
      <c r="F868" s="260"/>
      <c r="G868" s="267">
        <f t="shared" si="19"/>
      </c>
      <c r="H868" s="41"/>
      <c r="I868" s="149"/>
      <c r="J868" s="149"/>
    </row>
    <row r="869" spans="1:10" ht="12.75">
      <c r="A869" s="595">
        <v>568598</v>
      </c>
      <c r="B869" s="596" t="s">
        <v>789</v>
      </c>
      <c r="C869" s="348"/>
      <c r="D869" s="260"/>
      <c r="E869" s="267"/>
      <c r="F869" s="260"/>
      <c r="G869" s="267">
        <f t="shared" si="19"/>
      </c>
      <c r="H869" s="41"/>
      <c r="I869" s="149"/>
      <c r="J869" s="149"/>
    </row>
    <row r="870" spans="1:10" ht="12.75">
      <c r="A870" s="595">
        <v>568599</v>
      </c>
      <c r="B870" s="597" t="s">
        <v>359</v>
      </c>
      <c r="C870" s="349"/>
      <c r="D870" s="260"/>
      <c r="E870" s="268"/>
      <c r="F870" s="260"/>
      <c r="G870" s="268">
        <f t="shared" si="19"/>
      </c>
      <c r="H870" s="41"/>
      <c r="I870" s="149"/>
      <c r="J870" s="149"/>
    </row>
    <row r="871" spans="1:10" ht="13.5" thickBot="1">
      <c r="A871" s="231" t="s">
        <v>401</v>
      </c>
      <c r="B871" s="6"/>
      <c r="C871" s="358">
        <f>SUM(C828:C870)</f>
        <v>0</v>
      </c>
      <c r="D871" s="260"/>
      <c r="E871" s="358">
        <v>0</v>
      </c>
      <c r="F871" s="260"/>
      <c r="G871" s="273">
        <f>SUM(G828:G870)</f>
        <v>0</v>
      </c>
      <c r="H871" s="41"/>
      <c r="I871" s="149"/>
      <c r="J871" s="149"/>
    </row>
    <row r="872" spans="1:10" ht="13.5" thickTop="1">
      <c r="A872" s="226"/>
      <c r="I872" s="149"/>
      <c r="J872" s="149"/>
    </row>
    <row r="873" spans="1:10" ht="15">
      <c r="A873" s="228" t="s">
        <v>537</v>
      </c>
      <c r="B873" s="16"/>
      <c r="C873" s="351"/>
      <c r="D873" s="261"/>
      <c r="E873" s="285"/>
      <c r="F873" s="261"/>
      <c r="G873" s="271"/>
      <c r="H873" s="171"/>
      <c r="I873" s="149"/>
      <c r="J873" s="149"/>
    </row>
    <row r="874" spans="1:10" ht="12.75">
      <c r="A874" s="224">
        <v>611110</v>
      </c>
      <c r="B874" s="9" t="s">
        <v>360</v>
      </c>
      <c r="C874" s="347"/>
      <c r="D874" s="260"/>
      <c r="E874" s="266"/>
      <c r="F874" s="260"/>
      <c r="G874" s="266">
        <f aca="true" t="shared" si="21" ref="G874:G929">IF(E874&lt;&gt;C874,C874-E874,"")</f>
      </c>
      <c r="H874" s="41"/>
      <c r="I874" s="149"/>
      <c r="J874" s="149"/>
    </row>
    <row r="875" spans="1:10" ht="12.75">
      <c r="A875" s="224">
        <v>611112</v>
      </c>
      <c r="B875" s="9" t="s">
        <v>361</v>
      </c>
      <c r="C875" s="348"/>
      <c r="D875" s="260"/>
      <c r="E875" s="267"/>
      <c r="F875" s="260"/>
      <c r="G875" s="267">
        <f t="shared" si="21"/>
      </c>
      <c r="H875" s="41"/>
      <c r="I875" s="149"/>
      <c r="J875" s="149"/>
    </row>
    <row r="876" spans="1:10" ht="12.75">
      <c r="A876" s="224">
        <v>611114</v>
      </c>
      <c r="B876" s="9" t="s">
        <v>362</v>
      </c>
      <c r="C876" s="348"/>
      <c r="D876" s="260"/>
      <c r="E876" s="267"/>
      <c r="F876" s="260"/>
      <c r="G876" s="267">
        <f t="shared" si="21"/>
      </c>
      <c r="H876" s="41"/>
      <c r="I876" s="149"/>
      <c r="J876" s="149"/>
    </row>
    <row r="877" spans="1:10" ht="12.75">
      <c r="A877" s="224">
        <v>613720</v>
      </c>
      <c r="B877" s="9" t="s">
        <v>744</v>
      </c>
      <c r="C877" s="348"/>
      <c r="D877" s="260"/>
      <c r="E877" s="267"/>
      <c r="F877" s="260"/>
      <c r="G877" s="267">
        <f t="shared" si="21"/>
      </c>
      <c r="H877" s="41"/>
      <c r="I877" s="149"/>
      <c r="J877" s="149"/>
    </row>
    <row r="878" spans="1:10" ht="12.75">
      <c r="A878" s="224">
        <v>614090</v>
      </c>
      <c r="B878" s="9" t="s">
        <v>552</v>
      </c>
      <c r="C878" s="348"/>
      <c r="D878" s="260"/>
      <c r="E878" s="267"/>
      <c r="F878" s="260"/>
      <c r="G878" s="267">
        <f t="shared" si="21"/>
      </c>
      <c r="H878" s="41"/>
      <c r="I878" s="149"/>
      <c r="J878" s="149"/>
    </row>
    <row r="879" spans="1:10" ht="12.75">
      <c r="A879" s="224">
        <v>614091</v>
      </c>
      <c r="B879" s="9" t="s">
        <v>553</v>
      </c>
      <c r="C879" s="348"/>
      <c r="D879" s="260"/>
      <c r="E879" s="267"/>
      <c r="F879" s="260"/>
      <c r="G879" s="267">
        <f t="shared" si="21"/>
      </c>
      <c r="H879" s="41"/>
      <c r="I879" s="149"/>
      <c r="J879" s="149"/>
    </row>
    <row r="880" spans="1:10" ht="12.75">
      <c r="A880" s="224">
        <v>614092</v>
      </c>
      <c r="B880" s="9" t="s">
        <v>590</v>
      </c>
      <c r="C880" s="348"/>
      <c r="D880" s="260"/>
      <c r="E880" s="267"/>
      <c r="F880" s="260"/>
      <c r="G880" s="267">
        <f t="shared" si="21"/>
      </c>
      <c r="H880" s="41"/>
      <c r="I880" s="149"/>
      <c r="J880" s="149"/>
    </row>
    <row r="881" spans="1:10" ht="12.75">
      <c r="A881" s="224">
        <v>614095</v>
      </c>
      <c r="B881" s="9" t="s">
        <v>554</v>
      </c>
      <c r="C881" s="354"/>
      <c r="D881" s="260"/>
      <c r="E881" s="275"/>
      <c r="F881" s="260"/>
      <c r="G881" s="275">
        <f t="shared" si="21"/>
      </c>
      <c r="H881" s="41"/>
      <c r="I881" s="149"/>
      <c r="J881" s="149"/>
    </row>
    <row r="882" spans="1:10" ht="12.75">
      <c r="A882" s="224">
        <v>618610</v>
      </c>
      <c r="B882" s="9" t="s">
        <v>363</v>
      </c>
      <c r="C882" s="348"/>
      <c r="D882" s="260"/>
      <c r="E882" s="267"/>
      <c r="F882" s="260"/>
      <c r="G882" s="267">
        <f t="shared" si="21"/>
      </c>
      <c r="H882" s="41"/>
      <c r="I882" s="149"/>
      <c r="J882" s="149"/>
    </row>
    <row r="883" spans="1:10" ht="12.75">
      <c r="A883" s="224">
        <v>618620</v>
      </c>
      <c r="B883" s="9" t="s">
        <v>654</v>
      </c>
      <c r="C883" s="348"/>
      <c r="D883" s="260"/>
      <c r="E883" s="267"/>
      <c r="F883" s="260"/>
      <c r="G883" s="267">
        <f t="shared" si="21"/>
      </c>
      <c r="H883" s="41"/>
      <c r="I883" s="149"/>
      <c r="J883" s="149"/>
    </row>
    <row r="884" spans="1:10" ht="12.75">
      <c r="A884" s="224">
        <v>618621</v>
      </c>
      <c r="B884" s="9" t="s">
        <v>364</v>
      </c>
      <c r="C884" s="348"/>
      <c r="D884" s="260"/>
      <c r="E884" s="267"/>
      <c r="F884" s="260"/>
      <c r="G884" s="267">
        <f t="shared" si="21"/>
      </c>
      <c r="H884" s="41"/>
      <c r="I884" s="149"/>
      <c r="J884" s="149"/>
    </row>
    <row r="885" spans="1:10" ht="12.75">
      <c r="A885" s="224">
        <v>618622</v>
      </c>
      <c r="B885" s="9" t="s">
        <v>593</v>
      </c>
      <c r="C885" s="348"/>
      <c r="D885" s="260"/>
      <c r="E885" s="267"/>
      <c r="F885" s="260"/>
      <c r="G885" s="267">
        <f t="shared" si="21"/>
      </c>
      <c r="H885" s="41"/>
      <c r="I885" s="149"/>
      <c r="J885" s="149"/>
    </row>
    <row r="886" spans="1:10" ht="12.75">
      <c r="A886" s="224">
        <v>618625</v>
      </c>
      <c r="B886" s="9" t="s">
        <v>745</v>
      </c>
      <c r="C886" s="348"/>
      <c r="D886" s="260"/>
      <c r="E886" s="267"/>
      <c r="F886" s="260"/>
      <c r="G886" s="267">
        <f t="shared" si="21"/>
      </c>
      <c r="H886" s="41"/>
      <c r="I886" s="149"/>
      <c r="J886" s="149"/>
    </row>
    <row r="887" spans="1:10" ht="12.75">
      <c r="A887" s="224">
        <v>618640</v>
      </c>
      <c r="B887" s="9" t="s">
        <v>365</v>
      </c>
      <c r="C887" s="348"/>
      <c r="D887" s="260"/>
      <c r="E887" s="267"/>
      <c r="F887" s="260"/>
      <c r="G887" s="267">
        <f t="shared" si="21"/>
      </c>
      <c r="H887" s="41"/>
      <c r="I887" s="149"/>
      <c r="J887" s="149"/>
    </row>
    <row r="888" spans="1:10" ht="12.75">
      <c r="A888" s="224">
        <v>618641</v>
      </c>
      <c r="B888" s="13" t="s">
        <v>366</v>
      </c>
      <c r="C888" s="348"/>
      <c r="D888" s="260"/>
      <c r="E888" s="267"/>
      <c r="F888" s="260"/>
      <c r="G888" s="267">
        <f t="shared" si="21"/>
      </c>
      <c r="H888" s="41"/>
      <c r="I888" s="149"/>
      <c r="J888" s="149"/>
    </row>
    <row r="889" spans="1:10" ht="12.75">
      <c r="A889" s="224">
        <v>618642</v>
      </c>
      <c r="B889" s="13" t="s">
        <v>367</v>
      </c>
      <c r="C889" s="348"/>
      <c r="D889" s="260"/>
      <c r="E889" s="267"/>
      <c r="F889" s="260"/>
      <c r="G889" s="267">
        <f t="shared" si="21"/>
      </c>
      <c r="H889" s="41"/>
      <c r="I889" s="149"/>
      <c r="J889" s="149"/>
    </row>
    <row r="890" spans="1:10" ht="12.75">
      <c r="A890" s="224">
        <v>618643</v>
      </c>
      <c r="B890" s="9" t="s">
        <v>141</v>
      </c>
      <c r="C890" s="348"/>
      <c r="D890" s="260"/>
      <c r="E890" s="267"/>
      <c r="F890" s="260"/>
      <c r="G890" s="267">
        <f t="shared" si="21"/>
      </c>
      <c r="H890" s="41"/>
      <c r="I890" s="149"/>
      <c r="J890" s="149"/>
    </row>
    <row r="891" spans="1:10" ht="12.75">
      <c r="A891" s="224">
        <v>618670</v>
      </c>
      <c r="B891" s="9" t="s">
        <v>824</v>
      </c>
      <c r="C891" s="348"/>
      <c r="D891" s="260"/>
      <c r="E891" s="267"/>
      <c r="F891" s="260"/>
      <c r="G891" s="267">
        <f t="shared" si="21"/>
      </c>
      <c r="H891" s="41"/>
      <c r="I891" s="149"/>
      <c r="J891" s="149"/>
    </row>
    <row r="892" spans="1:10" ht="12.75">
      <c r="A892" s="224">
        <v>618672</v>
      </c>
      <c r="B892" s="9" t="s">
        <v>369</v>
      </c>
      <c r="C892" s="348"/>
      <c r="D892" s="260"/>
      <c r="E892" s="267"/>
      <c r="F892" s="260"/>
      <c r="G892" s="267">
        <f t="shared" si="21"/>
      </c>
      <c r="H892" s="41"/>
      <c r="I892" s="149"/>
      <c r="J892" s="149"/>
    </row>
    <row r="893" spans="1:10" ht="12.75">
      <c r="A893" s="224">
        <v>618675</v>
      </c>
      <c r="B893" s="9" t="s">
        <v>746</v>
      </c>
      <c r="C893" s="348"/>
      <c r="D893" s="260"/>
      <c r="E893" s="267"/>
      <c r="F893" s="260"/>
      <c r="G893" s="267">
        <f t="shared" si="21"/>
      </c>
      <c r="H893" s="41"/>
      <c r="I893" s="149"/>
      <c r="J893" s="149"/>
    </row>
    <row r="894" spans="1:10" ht="12.75">
      <c r="A894" s="224">
        <v>618680</v>
      </c>
      <c r="B894" s="9" t="s">
        <v>371</v>
      </c>
      <c r="C894" s="348"/>
      <c r="D894" s="260"/>
      <c r="E894" s="267"/>
      <c r="F894" s="260"/>
      <c r="G894" s="267">
        <f t="shared" si="21"/>
      </c>
      <c r="H894" s="41"/>
      <c r="I894" s="149"/>
      <c r="J894" s="149"/>
    </row>
    <row r="895" spans="1:10" ht="12.75">
      <c r="A895" s="224">
        <v>618681</v>
      </c>
      <c r="B895" s="9" t="s">
        <v>372</v>
      </c>
      <c r="C895" s="348"/>
      <c r="D895" s="260"/>
      <c r="E895" s="267"/>
      <c r="F895" s="260"/>
      <c r="G895" s="267">
        <f t="shared" si="21"/>
      </c>
      <c r="H895" s="41"/>
      <c r="I895" s="149"/>
      <c r="J895" s="149"/>
    </row>
    <row r="896" spans="1:10" ht="12.75">
      <c r="A896" s="224">
        <v>618682</v>
      </c>
      <c r="B896" s="9" t="s">
        <v>373</v>
      </c>
      <c r="C896" s="348"/>
      <c r="D896" s="260"/>
      <c r="E896" s="267"/>
      <c r="F896" s="260"/>
      <c r="G896" s="267">
        <f t="shared" si="21"/>
      </c>
      <c r="H896" s="41"/>
      <c r="I896" s="149"/>
      <c r="J896" s="149"/>
    </row>
    <row r="897" spans="1:10" ht="12.75">
      <c r="A897" s="224">
        <v>618683</v>
      </c>
      <c r="B897" s="9" t="s">
        <v>374</v>
      </c>
      <c r="C897" s="348"/>
      <c r="D897" s="260"/>
      <c r="E897" s="267"/>
      <c r="F897" s="260"/>
      <c r="G897" s="267">
        <f t="shared" si="21"/>
      </c>
      <c r="H897" s="41"/>
      <c r="I897" s="149"/>
      <c r="J897" s="149"/>
    </row>
    <row r="898" spans="1:10" ht="12.75">
      <c r="A898" s="224">
        <v>618684</v>
      </c>
      <c r="B898" s="9" t="s">
        <v>651</v>
      </c>
      <c r="C898" s="348"/>
      <c r="D898" s="260"/>
      <c r="E898" s="267"/>
      <c r="F898" s="260"/>
      <c r="G898" s="267">
        <f t="shared" si="21"/>
      </c>
      <c r="H898" s="41"/>
      <c r="I898" s="149"/>
      <c r="J898" s="149"/>
    </row>
    <row r="899" spans="1:10" ht="12.75">
      <c r="A899" s="224">
        <v>618685</v>
      </c>
      <c r="B899" s="9" t="s">
        <v>650</v>
      </c>
      <c r="C899" s="348"/>
      <c r="D899" s="260"/>
      <c r="E899" s="267"/>
      <c r="F899" s="260"/>
      <c r="G899" s="267">
        <f t="shared" si="21"/>
      </c>
      <c r="H899" s="41"/>
      <c r="I899" s="149"/>
      <c r="J899" s="149"/>
    </row>
    <row r="900" spans="1:10" ht="12.75">
      <c r="A900" s="224">
        <v>618686</v>
      </c>
      <c r="B900" s="9" t="s">
        <v>649</v>
      </c>
      <c r="C900" s="348"/>
      <c r="D900" s="260"/>
      <c r="E900" s="267"/>
      <c r="F900" s="260"/>
      <c r="G900" s="267">
        <f t="shared" si="21"/>
      </c>
      <c r="H900" s="41"/>
      <c r="I900" s="149"/>
      <c r="J900" s="149"/>
    </row>
    <row r="901" spans="1:10" ht="12.75">
      <c r="A901" s="224">
        <v>618687</v>
      </c>
      <c r="B901" s="9" t="s">
        <v>375</v>
      </c>
      <c r="C901" s="348"/>
      <c r="D901" s="260"/>
      <c r="E901" s="267"/>
      <c r="F901" s="260"/>
      <c r="G901" s="267">
        <f t="shared" si="21"/>
      </c>
      <c r="H901" s="41"/>
      <c r="I901" s="149"/>
      <c r="J901" s="149"/>
    </row>
    <row r="902" spans="1:10" ht="12.75">
      <c r="A902" s="224">
        <v>618688</v>
      </c>
      <c r="B902" s="9" t="s">
        <v>376</v>
      </c>
      <c r="C902" s="348"/>
      <c r="D902" s="260"/>
      <c r="E902" s="267"/>
      <c r="F902" s="260"/>
      <c r="G902" s="267">
        <f aca="true" t="shared" si="22" ref="G902:G908">IF(E902&lt;&gt;C902,C902-E902,"")</f>
      </c>
      <c r="H902" s="41"/>
      <c r="I902" s="149"/>
      <c r="J902" s="149"/>
    </row>
    <row r="903" spans="1:10" ht="12.75">
      <c r="A903" s="224">
        <v>618689</v>
      </c>
      <c r="B903" s="9" t="s">
        <v>377</v>
      </c>
      <c r="C903" s="348"/>
      <c r="D903" s="260"/>
      <c r="E903" s="267"/>
      <c r="F903" s="260"/>
      <c r="G903" s="267">
        <f t="shared" si="22"/>
      </c>
      <c r="H903" s="41"/>
      <c r="I903" s="149"/>
      <c r="J903" s="149"/>
    </row>
    <row r="904" spans="1:10" ht="12.75">
      <c r="A904" s="224">
        <v>618725</v>
      </c>
      <c r="B904" s="9" t="s">
        <v>747</v>
      </c>
      <c r="C904" s="348"/>
      <c r="D904" s="260"/>
      <c r="E904" s="267"/>
      <c r="F904" s="260"/>
      <c r="G904" s="267">
        <f t="shared" si="22"/>
      </c>
      <c r="H904" s="41"/>
      <c r="I904" s="149"/>
      <c r="J904" s="149"/>
    </row>
    <row r="905" spans="1:10" ht="12.75">
      <c r="A905" s="224">
        <v>618726</v>
      </c>
      <c r="B905" s="9" t="s">
        <v>748</v>
      </c>
      <c r="C905" s="348"/>
      <c r="D905" s="260"/>
      <c r="E905" s="267"/>
      <c r="F905" s="260"/>
      <c r="G905" s="267">
        <f t="shared" si="22"/>
      </c>
      <c r="H905" s="41"/>
      <c r="I905" s="149"/>
      <c r="J905" s="149"/>
    </row>
    <row r="906" spans="1:10" ht="12.75">
      <c r="A906" s="224">
        <v>618727</v>
      </c>
      <c r="B906" s="9" t="s">
        <v>749</v>
      </c>
      <c r="C906" s="348"/>
      <c r="D906" s="260"/>
      <c r="E906" s="267"/>
      <c r="F906" s="260"/>
      <c r="G906" s="267">
        <f t="shared" si="22"/>
      </c>
      <c r="H906" s="41"/>
      <c r="I906" s="149"/>
      <c r="J906" s="149"/>
    </row>
    <row r="907" spans="1:10" ht="12.75">
      <c r="A907" s="224">
        <v>619010</v>
      </c>
      <c r="B907" s="9" t="s">
        <v>556</v>
      </c>
      <c r="C907" s="348"/>
      <c r="D907" s="260"/>
      <c r="E907" s="267"/>
      <c r="F907" s="260"/>
      <c r="G907" s="267">
        <f t="shared" si="22"/>
      </c>
      <c r="H907" s="41"/>
      <c r="I907" s="149"/>
      <c r="J907" s="149"/>
    </row>
    <row r="908" spans="1:10" ht="12.75">
      <c r="A908" s="224">
        <v>619020</v>
      </c>
      <c r="B908" s="9" t="s">
        <v>13</v>
      </c>
      <c r="C908" s="348"/>
      <c r="D908" s="260"/>
      <c r="E908" s="267"/>
      <c r="F908" s="260"/>
      <c r="G908" s="267">
        <f t="shared" si="22"/>
      </c>
      <c r="H908" s="41"/>
      <c r="I908" s="149"/>
      <c r="J908" s="149"/>
    </row>
    <row r="909" spans="1:10" ht="12.75">
      <c r="A909" s="224">
        <v>619021</v>
      </c>
      <c r="B909" s="9" t="s">
        <v>14</v>
      </c>
      <c r="C909" s="348"/>
      <c r="D909" s="260"/>
      <c r="E909" s="267"/>
      <c r="F909" s="260"/>
      <c r="G909" s="267">
        <f t="shared" si="21"/>
      </c>
      <c r="H909" s="41"/>
      <c r="I909" s="149"/>
      <c r="J909" s="149"/>
    </row>
    <row r="910" spans="1:10" ht="12.75">
      <c r="A910" s="224">
        <v>619022</v>
      </c>
      <c r="B910" s="9" t="s">
        <v>558</v>
      </c>
      <c r="C910" s="348"/>
      <c r="D910" s="260"/>
      <c r="E910" s="267"/>
      <c r="F910" s="260"/>
      <c r="G910" s="267">
        <f t="shared" si="21"/>
      </c>
      <c r="H910" s="41"/>
      <c r="I910" s="149"/>
      <c r="J910" s="149"/>
    </row>
    <row r="911" spans="1:10" ht="12.75">
      <c r="A911" s="224">
        <v>619023</v>
      </c>
      <c r="B911" s="9" t="s">
        <v>559</v>
      </c>
      <c r="C911" s="348"/>
      <c r="D911" s="260"/>
      <c r="E911" s="267"/>
      <c r="F911" s="260"/>
      <c r="G911" s="267">
        <f t="shared" si="21"/>
      </c>
      <c r="H911" s="41"/>
      <c r="I911" s="149"/>
      <c r="J911" s="149"/>
    </row>
    <row r="912" spans="1:10" ht="12.75">
      <c r="A912" s="224">
        <v>619025</v>
      </c>
      <c r="B912" s="9" t="s">
        <v>560</v>
      </c>
      <c r="C912" s="348"/>
      <c r="D912" s="260"/>
      <c r="E912" s="267"/>
      <c r="F912" s="260"/>
      <c r="G912" s="267">
        <f t="shared" si="21"/>
      </c>
      <c r="H912" s="41"/>
      <c r="I912" s="149"/>
      <c r="J912" s="149"/>
    </row>
    <row r="913" spans="1:10" ht="12.75">
      <c r="A913" s="224">
        <v>619029</v>
      </c>
      <c r="B913" s="9" t="s">
        <v>561</v>
      </c>
      <c r="C913" s="348"/>
      <c r="D913" s="260"/>
      <c r="E913" s="267"/>
      <c r="F913" s="260"/>
      <c r="G913" s="267">
        <f t="shared" si="21"/>
      </c>
      <c r="H913" s="41"/>
      <c r="I913" s="149"/>
      <c r="J913" s="149"/>
    </row>
    <row r="914" spans="1:10" ht="12.75">
      <c r="A914" s="224">
        <v>619030</v>
      </c>
      <c r="B914" s="9" t="s">
        <v>594</v>
      </c>
      <c r="C914" s="348"/>
      <c r="D914" s="260"/>
      <c r="E914" s="267"/>
      <c r="F914" s="260"/>
      <c r="G914" s="267">
        <f t="shared" si="21"/>
      </c>
      <c r="H914" s="41"/>
      <c r="I914" s="149"/>
      <c r="J914" s="149"/>
    </row>
    <row r="915" spans="1:10" ht="12.75">
      <c r="A915" s="224">
        <v>619064</v>
      </c>
      <c r="B915" s="9" t="s">
        <v>21</v>
      </c>
      <c r="C915" s="348"/>
      <c r="D915" s="260"/>
      <c r="E915" s="267"/>
      <c r="F915" s="260"/>
      <c r="G915" s="267">
        <f t="shared" si="21"/>
      </c>
      <c r="H915" s="41"/>
      <c r="I915" s="149"/>
      <c r="J915" s="149"/>
    </row>
    <row r="916" spans="1:10" ht="12.75">
      <c r="A916" s="224">
        <v>619069</v>
      </c>
      <c r="B916" s="9" t="s">
        <v>564</v>
      </c>
      <c r="C916" s="348"/>
      <c r="D916" s="260"/>
      <c r="E916" s="267"/>
      <c r="F916" s="260"/>
      <c r="G916" s="267">
        <f t="shared" si="21"/>
      </c>
      <c r="H916" s="41"/>
      <c r="I916" s="149"/>
      <c r="J916" s="149"/>
    </row>
    <row r="917" spans="1:10" ht="12.75">
      <c r="A917" s="224">
        <v>619070</v>
      </c>
      <c r="B917" s="9" t="s">
        <v>565</v>
      </c>
      <c r="C917" s="348"/>
      <c r="D917" s="260"/>
      <c r="E917" s="267"/>
      <c r="F917" s="260"/>
      <c r="G917" s="267">
        <f t="shared" si="21"/>
      </c>
      <c r="H917" s="41"/>
      <c r="I917" s="149"/>
      <c r="J917" s="149"/>
    </row>
    <row r="918" spans="1:10" ht="12.75">
      <c r="A918" s="224">
        <v>619072</v>
      </c>
      <c r="B918" s="9" t="s">
        <v>566</v>
      </c>
      <c r="C918" s="348"/>
      <c r="D918" s="260"/>
      <c r="E918" s="267"/>
      <c r="F918" s="260"/>
      <c r="G918" s="267">
        <f t="shared" si="21"/>
      </c>
      <c r="H918" s="41"/>
      <c r="I918" s="149"/>
      <c r="J918" s="149"/>
    </row>
    <row r="919" spans="1:10" ht="12.75">
      <c r="A919" s="224">
        <v>619073</v>
      </c>
      <c r="B919" s="9" t="s">
        <v>567</v>
      </c>
      <c r="C919" s="348"/>
      <c r="D919" s="260"/>
      <c r="E919" s="267"/>
      <c r="F919" s="260"/>
      <c r="G919" s="267">
        <f t="shared" si="21"/>
      </c>
      <c r="H919" s="41"/>
      <c r="I919" s="149"/>
      <c r="J919" s="149"/>
    </row>
    <row r="920" spans="1:10" ht="12.75">
      <c r="A920" s="224">
        <v>619077</v>
      </c>
      <c r="B920" s="9" t="s">
        <v>598</v>
      </c>
      <c r="C920" s="348"/>
      <c r="D920" s="260"/>
      <c r="E920" s="267"/>
      <c r="F920" s="260"/>
      <c r="G920" s="267">
        <f t="shared" si="21"/>
      </c>
      <c r="H920" s="41"/>
      <c r="I920" s="149"/>
      <c r="J920" s="149"/>
    </row>
    <row r="921" spans="1:10" ht="12.75">
      <c r="A921" s="224">
        <v>619078</v>
      </c>
      <c r="B921" s="9" t="s">
        <v>568</v>
      </c>
      <c r="C921" s="348"/>
      <c r="D921" s="260"/>
      <c r="E921" s="267"/>
      <c r="F921" s="260"/>
      <c r="G921" s="267">
        <f t="shared" si="21"/>
      </c>
      <c r="H921" s="41"/>
      <c r="I921" s="149"/>
      <c r="J921" s="149"/>
    </row>
    <row r="922" spans="1:10" ht="12.75">
      <c r="A922" s="224">
        <v>619081</v>
      </c>
      <c r="B922" s="9" t="s">
        <v>599</v>
      </c>
      <c r="C922" s="348"/>
      <c r="D922" s="260"/>
      <c r="E922" s="267"/>
      <c r="F922" s="260"/>
      <c r="G922" s="267">
        <f t="shared" si="21"/>
      </c>
      <c r="H922" s="41"/>
      <c r="I922" s="149"/>
      <c r="J922" s="149"/>
    </row>
    <row r="923" spans="1:10" ht="12.75">
      <c r="A923" s="224">
        <v>619082</v>
      </c>
      <c r="B923" s="9" t="s">
        <v>600</v>
      </c>
      <c r="C923" s="348"/>
      <c r="D923" s="260"/>
      <c r="E923" s="267"/>
      <c r="F923" s="260"/>
      <c r="G923" s="267">
        <f t="shared" si="21"/>
      </c>
      <c r="H923" s="41"/>
      <c r="I923" s="149"/>
      <c r="J923" s="149"/>
    </row>
    <row r="924" spans="1:10" ht="12.75">
      <c r="A924" s="224">
        <v>619083</v>
      </c>
      <c r="B924" s="9" t="s">
        <v>601</v>
      </c>
      <c r="C924" s="348"/>
      <c r="D924" s="260"/>
      <c r="E924" s="267"/>
      <c r="F924" s="260"/>
      <c r="G924" s="267">
        <f t="shared" si="21"/>
      </c>
      <c r="H924" s="41"/>
      <c r="I924" s="149"/>
      <c r="J924" s="149"/>
    </row>
    <row r="925" spans="1:10" ht="12.75">
      <c r="A925" s="224">
        <v>619084</v>
      </c>
      <c r="B925" s="9" t="s">
        <v>602</v>
      </c>
      <c r="C925" s="348"/>
      <c r="D925" s="260"/>
      <c r="E925" s="267"/>
      <c r="F925" s="260"/>
      <c r="G925" s="267">
        <f t="shared" si="21"/>
      </c>
      <c r="H925" s="41"/>
      <c r="I925" s="149"/>
      <c r="J925" s="149"/>
    </row>
    <row r="926" spans="1:10" ht="12.75">
      <c r="A926" s="224">
        <v>619085</v>
      </c>
      <c r="B926" s="9" t="s">
        <v>603</v>
      </c>
      <c r="C926" s="348"/>
      <c r="D926" s="260"/>
      <c r="E926" s="267"/>
      <c r="F926" s="260"/>
      <c r="G926" s="267">
        <f t="shared" si="21"/>
      </c>
      <c r="H926" s="41"/>
      <c r="I926" s="149"/>
      <c r="J926" s="149"/>
    </row>
    <row r="927" spans="1:10" ht="12.75">
      <c r="A927" s="224">
        <v>619090</v>
      </c>
      <c r="B927" s="9" t="s">
        <v>604</v>
      </c>
      <c r="C927" s="348"/>
      <c r="D927" s="260"/>
      <c r="E927" s="267"/>
      <c r="F927" s="260"/>
      <c r="G927" s="267">
        <f t="shared" si="21"/>
      </c>
      <c r="H927" s="41"/>
      <c r="I927" s="149"/>
      <c r="J927" s="149"/>
    </row>
    <row r="928" spans="1:10" ht="12.75">
      <c r="A928" s="224">
        <v>619093</v>
      </c>
      <c r="B928" s="9" t="s">
        <v>569</v>
      </c>
      <c r="C928" s="348"/>
      <c r="D928" s="260"/>
      <c r="E928" s="267"/>
      <c r="F928" s="260"/>
      <c r="G928" s="267">
        <f t="shared" si="21"/>
      </c>
      <c r="H928" s="41"/>
      <c r="I928" s="149"/>
      <c r="J928" s="149"/>
    </row>
    <row r="929" spans="1:10" ht="12.75">
      <c r="A929" s="224">
        <v>619098</v>
      </c>
      <c r="B929" s="218" t="s">
        <v>25</v>
      </c>
      <c r="C929" s="349"/>
      <c r="D929" s="260"/>
      <c r="E929" s="268"/>
      <c r="F929" s="260"/>
      <c r="G929" s="268">
        <f t="shared" si="21"/>
      </c>
      <c r="H929" s="41"/>
      <c r="I929" s="149"/>
      <c r="J929" s="149"/>
    </row>
    <row r="930" spans="1:10" ht="13.5" thickBot="1">
      <c r="A930" s="231" t="s">
        <v>401</v>
      </c>
      <c r="B930" s="6"/>
      <c r="C930" s="358">
        <f>SUM(C874:C929)</f>
        <v>0</v>
      </c>
      <c r="D930" s="260"/>
      <c r="E930" s="358">
        <v>0</v>
      </c>
      <c r="F930" s="260"/>
      <c r="G930" s="273">
        <f>SUM(G874:G929)</f>
        <v>0</v>
      </c>
      <c r="H930" s="41"/>
      <c r="I930" s="149"/>
      <c r="J930" s="149"/>
    </row>
    <row r="931" spans="1:10" ht="13.5" thickTop="1">
      <c r="A931" s="226"/>
      <c r="C931" s="353"/>
      <c r="E931" s="274"/>
      <c r="G931" s="274"/>
      <c r="H931" s="41"/>
      <c r="I931" s="149"/>
      <c r="J931" s="149"/>
    </row>
    <row r="932" spans="1:10" ht="15">
      <c r="A932" s="228" t="s">
        <v>538</v>
      </c>
      <c r="C932" s="351"/>
      <c r="D932" s="261"/>
      <c r="E932" s="285"/>
      <c r="F932" s="261"/>
      <c r="G932" s="271"/>
      <c r="H932" s="171"/>
      <c r="I932" s="149"/>
      <c r="J932" s="149"/>
    </row>
    <row r="933" spans="1:10" ht="12.75">
      <c r="A933" s="224">
        <v>628699</v>
      </c>
      <c r="B933" s="218" t="s">
        <v>382</v>
      </c>
      <c r="C933" s="359"/>
      <c r="D933" s="260"/>
      <c r="E933" s="268"/>
      <c r="F933" s="260"/>
      <c r="G933" s="268">
        <f>IF(E933&lt;&gt;C933,C933-E933,"")</f>
      </c>
      <c r="H933" s="41"/>
      <c r="I933" s="149"/>
      <c r="J933" s="149"/>
    </row>
    <row r="934" spans="1:10" ht="13.5" thickBot="1">
      <c r="A934" s="231" t="s">
        <v>401</v>
      </c>
      <c r="B934" s="6"/>
      <c r="C934" s="358">
        <f>SUM(C933:C933)</f>
        <v>0</v>
      </c>
      <c r="D934" s="260"/>
      <c r="E934" s="358">
        <v>0</v>
      </c>
      <c r="F934" s="260"/>
      <c r="G934" s="273">
        <f>SUM(G933:G933)</f>
        <v>0</v>
      </c>
      <c r="H934" s="41"/>
      <c r="I934" s="149"/>
      <c r="J934" s="149"/>
    </row>
    <row r="935" spans="9:10" ht="13.5" thickTop="1">
      <c r="I935" s="149"/>
      <c r="J935" s="149"/>
    </row>
    <row r="936" spans="1:10" ht="12.75">
      <c r="A936" s="149"/>
      <c r="B936" s="149"/>
      <c r="C936" s="149"/>
      <c r="D936" s="149"/>
      <c r="E936" s="389"/>
      <c r="F936" s="149"/>
      <c r="G936" s="149"/>
      <c r="H936" s="149"/>
      <c r="I936" s="149"/>
      <c r="J936" s="149"/>
    </row>
    <row r="937" spans="1:10" ht="12.75">
      <c r="A937" s="149"/>
      <c r="B937" s="149"/>
      <c r="C937" s="149"/>
      <c r="D937" s="149"/>
      <c r="E937" s="389"/>
      <c r="F937" s="149"/>
      <c r="G937" s="149"/>
      <c r="H937" s="149"/>
      <c r="I937" s="149"/>
      <c r="J937" s="149"/>
    </row>
    <row r="938" spans="1:10" ht="12.75">
      <c r="A938" s="149"/>
      <c r="B938" s="149"/>
      <c r="C938" s="149"/>
      <c r="D938" s="149"/>
      <c r="E938" s="389"/>
      <c r="F938" s="149"/>
      <c r="G938" s="149"/>
      <c r="H938" s="149"/>
      <c r="I938" s="149"/>
      <c r="J938" s="149"/>
    </row>
    <row r="939" spans="1:10" ht="12.75">
      <c r="A939" s="149"/>
      <c r="B939" s="149"/>
      <c r="C939" s="149"/>
      <c r="D939" s="149"/>
      <c r="E939" s="389"/>
      <c r="F939" s="149"/>
      <c r="G939" s="149"/>
      <c r="H939" s="149"/>
      <c r="I939" s="149"/>
      <c r="J939" s="149"/>
    </row>
  </sheetData>
  <sheetProtection sheet="1" objects="1" scenarios="1"/>
  <printOptions/>
  <pageMargins left="0.75" right="0.75" top="1" bottom="1" header="0.5" footer="0.5"/>
  <pageSetup horizontalDpi="600" verticalDpi="600" orientation="portrait" paperSize="9"/>
  <legacyDrawing r:id="rId1"/>
</worksheet>
</file>

<file path=xl/worksheets/sheet13.xml><?xml version="1.0" encoding="utf-8"?>
<worksheet xmlns="http://schemas.openxmlformats.org/spreadsheetml/2006/main" xmlns:r="http://schemas.openxmlformats.org/officeDocument/2006/relationships">
  <sheetPr codeName="Ark5"/>
  <dimension ref="A1:G41"/>
  <sheetViews>
    <sheetView workbookViewId="0" topLeftCell="A22">
      <selection activeCell="D33" sqref="D33"/>
    </sheetView>
  </sheetViews>
  <sheetFormatPr defaultColWidth="11.421875" defaultRowHeight="12.75"/>
  <cols>
    <col min="1" max="1" width="4.7109375" style="162" customWidth="1"/>
    <col min="2" max="2" width="27.28125" style="162" customWidth="1"/>
    <col min="3" max="3" width="9.00390625" style="589" customWidth="1"/>
    <col min="4" max="4" width="28.421875" style="162" customWidth="1"/>
    <col min="5" max="5" width="5.7109375" style="163" customWidth="1"/>
    <col min="6" max="6" width="9.421875" style="162" customWidth="1"/>
    <col min="7" max="7" width="7.140625" style="162" customWidth="1"/>
    <col min="8" max="16384" width="11.421875" style="162" customWidth="1"/>
  </cols>
  <sheetData>
    <row r="1" spans="2:5" s="590" customFormat="1" ht="12">
      <c r="B1" s="594" t="s">
        <v>770</v>
      </c>
      <c r="C1" s="591"/>
      <c r="D1" s="592"/>
      <c r="E1" s="593" t="s">
        <v>771</v>
      </c>
    </row>
    <row r="2" spans="1:7" ht="12.75" customHeight="1">
      <c r="A2" s="162">
        <v>1</v>
      </c>
      <c r="B2" s="56" t="s">
        <v>396</v>
      </c>
      <c r="C2" s="586" t="s">
        <v>402</v>
      </c>
      <c r="D2" s="162" t="s">
        <v>514</v>
      </c>
      <c r="E2" s="165">
        <v>1</v>
      </c>
      <c r="F2" s="164" t="s">
        <v>515</v>
      </c>
      <c r="G2" s="166" t="str">
        <f>INDEX(C5:C29,E2)</f>
        <v>start</v>
      </c>
    </row>
    <row r="3" spans="1:7" ht="12.75" customHeight="1">
      <c r="A3" s="162">
        <v>2</v>
      </c>
      <c r="B3" s="56" t="s">
        <v>312</v>
      </c>
      <c r="C3" s="586" t="s">
        <v>403</v>
      </c>
      <c r="D3" s="162" t="s">
        <v>517</v>
      </c>
      <c r="E3" s="165">
        <v>19</v>
      </c>
      <c r="F3" s="164" t="s">
        <v>515</v>
      </c>
      <c r="G3" s="166" t="str">
        <f>INDEX(C6:C29,E3)</f>
        <v>UT_53</v>
      </c>
    </row>
    <row r="4" spans="1:3" ht="12.75" customHeight="1">
      <c r="A4" s="162">
        <v>3</v>
      </c>
      <c r="B4" s="56" t="s">
        <v>395</v>
      </c>
      <c r="C4" s="586" t="s">
        <v>404</v>
      </c>
    </row>
    <row r="5" spans="1:3" ht="12.75" customHeight="1">
      <c r="A5" s="162">
        <v>4</v>
      </c>
      <c r="B5" s="56" t="s">
        <v>731</v>
      </c>
      <c r="C5" s="586" t="s">
        <v>730</v>
      </c>
    </row>
    <row r="6" spans="1:3" ht="12.75">
      <c r="A6" s="162">
        <v>5</v>
      </c>
      <c r="B6" s="56" t="s">
        <v>513</v>
      </c>
      <c r="C6" s="587" t="s">
        <v>692</v>
      </c>
    </row>
    <row r="7" spans="1:3" ht="12.75">
      <c r="A7" s="162">
        <v>6</v>
      </c>
      <c r="B7" s="56" t="s">
        <v>516</v>
      </c>
      <c r="C7" s="587" t="s">
        <v>693</v>
      </c>
    </row>
    <row r="8" spans="1:3" ht="12.75">
      <c r="A8" s="162">
        <v>7</v>
      </c>
      <c r="B8" s="56" t="s">
        <v>518</v>
      </c>
      <c r="C8" s="587" t="s">
        <v>694</v>
      </c>
    </row>
    <row r="9" spans="1:3" ht="12.75">
      <c r="A9" s="162">
        <v>8</v>
      </c>
      <c r="B9" s="56" t="s">
        <v>519</v>
      </c>
      <c r="C9" s="587" t="s">
        <v>695</v>
      </c>
    </row>
    <row r="10" spans="1:3" ht="12.75">
      <c r="A10" s="162">
        <v>9</v>
      </c>
      <c r="B10" s="56" t="s">
        <v>520</v>
      </c>
      <c r="C10" s="587" t="s">
        <v>696</v>
      </c>
    </row>
    <row r="11" spans="1:3" ht="12.75">
      <c r="A11" s="162">
        <v>10</v>
      </c>
      <c r="B11" s="56" t="s">
        <v>521</v>
      </c>
      <c r="C11" s="587" t="s">
        <v>697</v>
      </c>
    </row>
    <row r="12" spans="1:3" ht="12.75">
      <c r="A12" s="162">
        <v>11</v>
      </c>
      <c r="B12" s="56" t="s">
        <v>522</v>
      </c>
      <c r="C12" s="587" t="s">
        <v>698</v>
      </c>
    </row>
    <row r="13" spans="1:3" ht="12.75">
      <c r="A13" s="162">
        <v>12</v>
      </c>
      <c r="B13" s="56" t="s">
        <v>523</v>
      </c>
      <c r="C13" s="587" t="s">
        <v>699</v>
      </c>
    </row>
    <row r="14" spans="1:3" ht="12.75">
      <c r="A14" s="162">
        <v>13</v>
      </c>
      <c r="B14" s="56" t="s">
        <v>524</v>
      </c>
      <c r="C14" s="587" t="s">
        <v>700</v>
      </c>
    </row>
    <row r="15" spans="1:3" ht="12.75">
      <c r="A15" s="162">
        <v>14</v>
      </c>
      <c r="B15" s="56" t="s">
        <v>525</v>
      </c>
      <c r="C15" s="587" t="s">
        <v>701</v>
      </c>
    </row>
    <row r="16" spans="1:3" ht="12.75">
      <c r="A16" s="162">
        <v>15</v>
      </c>
      <c r="B16" s="56" t="s">
        <v>526</v>
      </c>
      <c r="C16" s="587" t="s">
        <v>702</v>
      </c>
    </row>
    <row r="17" spans="1:3" ht="12.75">
      <c r="A17" s="162">
        <v>16</v>
      </c>
      <c r="B17" s="56" t="s">
        <v>527</v>
      </c>
      <c r="C17" s="587" t="s">
        <v>703</v>
      </c>
    </row>
    <row r="18" spans="1:3" ht="12.75">
      <c r="A18" s="162">
        <v>17</v>
      </c>
      <c r="B18" s="56" t="s">
        <v>528</v>
      </c>
      <c r="C18" s="587" t="s">
        <v>704</v>
      </c>
    </row>
    <row r="19" spans="1:3" ht="12.75">
      <c r="A19" s="162">
        <v>18</v>
      </c>
      <c r="B19" s="56" t="s">
        <v>529</v>
      </c>
      <c r="C19" s="587" t="s">
        <v>705</v>
      </c>
    </row>
    <row r="20" spans="1:3" ht="12.75">
      <c r="A20" s="162">
        <v>19</v>
      </c>
      <c r="B20" s="56" t="s">
        <v>530</v>
      </c>
      <c r="C20" s="587" t="s">
        <v>706</v>
      </c>
    </row>
    <row r="21" spans="1:3" ht="12.75">
      <c r="A21" s="162">
        <v>20</v>
      </c>
      <c r="B21" s="174" t="s">
        <v>620</v>
      </c>
      <c r="C21" s="588" t="s">
        <v>707</v>
      </c>
    </row>
    <row r="22" spans="1:3" ht="12.75">
      <c r="A22" s="162">
        <v>21</v>
      </c>
      <c r="B22" s="56" t="s">
        <v>415</v>
      </c>
      <c r="C22" s="587" t="s">
        <v>708</v>
      </c>
    </row>
    <row r="23" spans="1:3" ht="12.75">
      <c r="A23" s="162">
        <v>22</v>
      </c>
      <c r="B23" s="56" t="s">
        <v>532</v>
      </c>
      <c r="C23" s="587" t="s">
        <v>709</v>
      </c>
    </row>
    <row r="24" spans="1:3" ht="12.75">
      <c r="A24" s="162">
        <v>23</v>
      </c>
      <c r="B24" s="56" t="s">
        <v>533</v>
      </c>
      <c r="C24" s="587" t="s">
        <v>710</v>
      </c>
    </row>
    <row r="25" spans="1:3" ht="12.75">
      <c r="A25" s="162">
        <v>24</v>
      </c>
      <c r="B25" s="56" t="s">
        <v>534</v>
      </c>
      <c r="C25" s="587" t="s">
        <v>711</v>
      </c>
    </row>
    <row r="26" spans="1:3" ht="12.75">
      <c r="A26" s="162">
        <v>25</v>
      </c>
      <c r="B26" s="56" t="s">
        <v>535</v>
      </c>
      <c r="C26" s="587" t="s">
        <v>712</v>
      </c>
    </row>
    <row r="27" spans="1:3" ht="12.75">
      <c r="A27" s="162">
        <v>26</v>
      </c>
      <c r="B27" s="56" t="s">
        <v>536</v>
      </c>
      <c r="C27" s="587" t="s">
        <v>713</v>
      </c>
    </row>
    <row r="28" spans="1:3" ht="12.75">
      <c r="A28" s="162">
        <v>27</v>
      </c>
      <c r="B28" s="56" t="s">
        <v>537</v>
      </c>
      <c r="C28" s="587" t="s">
        <v>714</v>
      </c>
    </row>
    <row r="29" spans="1:3" ht="12.75">
      <c r="A29" s="162">
        <v>28</v>
      </c>
      <c r="B29" s="56" t="s">
        <v>538</v>
      </c>
      <c r="C29" s="587" t="s">
        <v>715</v>
      </c>
    </row>
    <row r="30" ht="12.75">
      <c r="A30" s="162">
        <v>29</v>
      </c>
    </row>
    <row r="32" ht="12.75">
      <c r="E32" s="162"/>
    </row>
    <row r="33" spans="2:5" ht="12.75">
      <c r="B33" s="203" t="s">
        <v>219</v>
      </c>
      <c r="D33" s="163"/>
      <c r="E33" s="162"/>
    </row>
    <row r="34" spans="2:5" ht="12.75">
      <c r="B34" s="162" t="s">
        <v>378</v>
      </c>
      <c r="C34" s="589" t="b">
        <v>0</v>
      </c>
      <c r="D34" s="162" t="s">
        <v>716</v>
      </c>
      <c r="E34" s="162"/>
    </row>
    <row r="35" spans="2:5" ht="12.75">
      <c r="B35" s="162" t="s">
        <v>379</v>
      </c>
      <c r="C35" s="589" t="b">
        <v>0</v>
      </c>
      <c r="D35" s="162" t="s">
        <v>717</v>
      </c>
      <c r="E35" s="162"/>
    </row>
    <row r="36" spans="2:5" ht="12.75">
      <c r="B36" s="162" t="s">
        <v>380</v>
      </c>
      <c r="C36" s="589" t="b">
        <v>0</v>
      </c>
      <c r="D36" s="162" t="s">
        <v>718</v>
      </c>
      <c r="E36" s="162"/>
    </row>
    <row r="37" spans="2:4" ht="12.75">
      <c r="B37" s="162" t="s">
        <v>381</v>
      </c>
      <c r="C37" s="589" t="b">
        <v>0</v>
      </c>
      <c r="D37" s="162" t="s">
        <v>719</v>
      </c>
    </row>
    <row r="38" spans="2:4" ht="12.75">
      <c r="B38" s="162" t="s">
        <v>720</v>
      </c>
      <c r="C38" s="589" t="b">
        <v>0</v>
      </c>
      <c r="D38" s="162" t="s">
        <v>721</v>
      </c>
    </row>
    <row r="39" spans="2:4" ht="12.75">
      <c r="B39" s="162" t="s">
        <v>722</v>
      </c>
      <c r="C39" s="589" t="b">
        <v>0</v>
      </c>
      <c r="D39" s="162" t="s">
        <v>723</v>
      </c>
    </row>
    <row r="40" spans="2:4" ht="12.75">
      <c r="B40" s="162" t="s">
        <v>724</v>
      </c>
      <c r="C40" s="589" t="b">
        <v>0</v>
      </c>
      <c r="D40" s="162" t="s">
        <v>725</v>
      </c>
    </row>
    <row r="41" spans="2:4" ht="12.75">
      <c r="B41" s="162" t="s">
        <v>734</v>
      </c>
      <c r="C41" s="589" t="b">
        <v>0</v>
      </c>
      <c r="D41" s="162" t="s">
        <v>735</v>
      </c>
    </row>
  </sheetData>
  <sheetProtection/>
  <printOptions/>
  <pageMargins left="0.75" right="0.16"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Ark10">
    <pageSetUpPr fitToPage="1"/>
  </sheetPr>
  <dimension ref="A1:N40"/>
  <sheetViews>
    <sheetView showGridLines="0" showRowColHeaders="0" showZeros="0" showOutlineSymbols="0" workbookViewId="0" topLeftCell="A1">
      <selection activeCell="E11" sqref="E11"/>
    </sheetView>
  </sheetViews>
  <sheetFormatPr defaultColWidth="11.421875" defaultRowHeight="12.75"/>
  <cols>
    <col min="1" max="1" width="9.421875" style="0" customWidth="1"/>
    <col min="2" max="2" width="9.7109375" style="0" customWidth="1"/>
    <col min="3" max="3" width="2.8515625" style="0" customWidth="1"/>
    <col min="4" max="4" width="12.00390625" style="0" customWidth="1"/>
    <col min="5" max="5" width="17.8515625" style="0" customWidth="1"/>
    <col min="6" max="6" width="7.8515625" style="0" customWidth="1"/>
    <col min="7" max="7" width="3.7109375" style="0" customWidth="1"/>
    <col min="8" max="9" width="7.8515625" style="0" customWidth="1"/>
    <col min="10" max="10" width="3.7109375" style="0" customWidth="1"/>
    <col min="11" max="11" width="7.421875" style="0" customWidth="1"/>
    <col min="14" max="14" width="21.421875" style="0" customWidth="1"/>
  </cols>
  <sheetData>
    <row r="1" spans="1:14" ht="12.75">
      <c r="A1" s="120" t="s">
        <v>418</v>
      </c>
      <c r="B1" s="120"/>
      <c r="C1" s="120"/>
      <c r="D1" s="120"/>
      <c r="H1" s="77"/>
      <c r="M1" s="149"/>
      <c r="N1" s="149"/>
    </row>
    <row r="2" spans="1:14" ht="12.75">
      <c r="A2" s="120"/>
      <c r="B2" s="120"/>
      <c r="C2" s="120"/>
      <c r="D2" s="120"/>
      <c r="M2" s="149"/>
      <c r="N2" s="149"/>
    </row>
    <row r="3" spans="1:14" s="87" customFormat="1" ht="12.75">
      <c r="A3" s="87" t="s">
        <v>761</v>
      </c>
      <c r="M3" s="149"/>
      <c r="N3" s="149"/>
    </row>
    <row r="4" spans="1:14" s="87" customFormat="1" ht="12.75">
      <c r="A4" s="87" t="s">
        <v>626</v>
      </c>
      <c r="M4" s="149"/>
      <c r="N4" s="149"/>
    </row>
    <row r="5" spans="1:14" s="87" customFormat="1" ht="12.75">
      <c r="A5" s="87" t="s">
        <v>726</v>
      </c>
      <c r="M5" s="149"/>
      <c r="N5" s="149"/>
    </row>
    <row r="6" spans="13:14" ht="12.75">
      <c r="M6" s="149"/>
      <c r="N6" s="149"/>
    </row>
    <row r="7" spans="1:14" ht="15">
      <c r="A7" s="112"/>
      <c r="B7" s="113"/>
      <c r="C7" s="113"/>
      <c r="D7" s="113"/>
      <c r="E7" s="114"/>
      <c r="F7" s="115" t="s">
        <v>422</v>
      </c>
      <c r="G7" s="116" t="s">
        <v>423</v>
      </c>
      <c r="H7" s="115" t="s">
        <v>424</v>
      </c>
      <c r="I7" s="115" t="s">
        <v>425</v>
      </c>
      <c r="J7" s="117" t="s">
        <v>426</v>
      </c>
      <c r="K7" s="115" t="s">
        <v>427</v>
      </c>
      <c r="M7" s="149"/>
      <c r="N7" s="149"/>
    </row>
    <row r="8" spans="1:14" ht="12.75">
      <c r="A8" s="26" t="s">
        <v>428</v>
      </c>
      <c r="B8" s="27" t="s">
        <v>429</v>
      </c>
      <c r="C8" s="121"/>
      <c r="D8" s="121"/>
      <c r="E8" s="58" t="s">
        <v>430</v>
      </c>
      <c r="F8" s="28">
        <v>60</v>
      </c>
      <c r="G8" s="28"/>
      <c r="H8" s="28">
        <v>1000</v>
      </c>
      <c r="I8" s="29">
        <f>IF(G8=0,(IF(F8=0,H8,F8*H8)),(IF(F8=0,H8,F8*G8*H8)))</f>
        <v>60000</v>
      </c>
      <c r="J8" s="30">
        <v>26</v>
      </c>
      <c r="K8" s="29">
        <f>IF(J8&lt;&gt;0,(I8*J8)/100,0)</f>
        <v>15600</v>
      </c>
      <c r="M8" s="149"/>
      <c r="N8" s="149"/>
    </row>
    <row r="9" spans="1:14" ht="12.75">
      <c r="A9" s="26" t="s">
        <v>431</v>
      </c>
      <c r="B9" s="31" t="s">
        <v>432</v>
      </c>
      <c r="C9" s="122"/>
      <c r="D9" s="122"/>
      <c r="E9" s="58" t="s">
        <v>433</v>
      </c>
      <c r="F9" s="32">
        <v>0.3</v>
      </c>
      <c r="G9" s="32"/>
      <c r="H9" s="29">
        <f>IF(F9=0,0,+I8)</f>
        <v>60000</v>
      </c>
      <c r="I9" s="29">
        <f>IF(G9=0,(IF(F9=0,H9,F9*H9)),(IF(F9=0,H9,F9*G9*H9)))</f>
        <v>18000</v>
      </c>
      <c r="J9" s="30">
        <v>26</v>
      </c>
      <c r="K9" s="29">
        <f>IF(J9&lt;&gt;0,(I9*J9)/100,0)</f>
        <v>4680</v>
      </c>
      <c r="M9" s="149"/>
      <c r="N9" s="149"/>
    </row>
    <row r="10" spans="13:14" ht="12.75">
      <c r="M10" s="149"/>
      <c r="N10" s="149"/>
    </row>
    <row r="11" spans="13:14" ht="12.75">
      <c r="M11" s="149"/>
      <c r="N11" s="149"/>
    </row>
    <row r="12" spans="13:14" ht="12.75">
      <c r="M12" s="149"/>
      <c r="N12" s="149"/>
    </row>
    <row r="13" spans="1:14" s="54" customFormat="1" ht="12.75">
      <c r="A13" s="600" t="s">
        <v>419</v>
      </c>
      <c r="B13" s="600" t="s">
        <v>627</v>
      </c>
      <c r="C13" s="142"/>
      <c r="D13" s="134"/>
      <c r="E13" s="135"/>
      <c r="H13"/>
      <c r="M13" s="149"/>
      <c r="N13" s="149"/>
    </row>
    <row r="14" spans="1:14" s="54" customFormat="1" ht="12.75">
      <c r="A14" s="601"/>
      <c r="B14" s="601"/>
      <c r="C14" s="143"/>
      <c r="D14" s="140" t="s">
        <v>420</v>
      </c>
      <c r="E14" s="139"/>
      <c r="H14"/>
      <c r="M14" s="149"/>
      <c r="N14" s="149"/>
    </row>
    <row r="15" spans="1:14" ht="12.75">
      <c r="A15" s="146">
        <v>1</v>
      </c>
      <c r="B15" s="167">
        <f>(1/7.5)*1.5*A15</f>
        <v>0.2</v>
      </c>
      <c r="C15" s="144"/>
      <c r="D15" s="136" t="s">
        <v>394</v>
      </c>
      <c r="E15" s="137"/>
      <c r="M15" s="149"/>
      <c r="N15" s="149"/>
    </row>
    <row r="16" spans="1:14" ht="12.75">
      <c r="A16" s="146">
        <v>1.5</v>
      </c>
      <c r="B16" s="167">
        <f>(1/7.5)*1.5*A16</f>
        <v>0.30000000000000004</v>
      </c>
      <c r="C16" s="144"/>
      <c r="D16" s="136" t="s">
        <v>388</v>
      </c>
      <c r="E16" s="137"/>
      <c r="M16" s="149"/>
      <c r="N16" s="149"/>
    </row>
    <row r="17" spans="1:14" ht="12.75">
      <c r="A17" s="146">
        <v>2</v>
      </c>
      <c r="B17" s="167">
        <f>(1/7.5)*1.5*A17</f>
        <v>0.4</v>
      </c>
      <c r="C17" s="144"/>
      <c r="D17" s="136" t="s">
        <v>389</v>
      </c>
      <c r="E17" s="137"/>
      <c r="M17" s="149"/>
      <c r="N17" s="149"/>
    </row>
    <row r="18" spans="1:14" ht="12.75">
      <c r="A18" s="146">
        <v>2.5</v>
      </c>
      <c r="B18" s="167">
        <f>(1/7.5)*1.5*A18</f>
        <v>0.5</v>
      </c>
      <c r="C18" s="144"/>
      <c r="D18" s="136" t="s">
        <v>390</v>
      </c>
      <c r="E18" s="137"/>
      <c r="M18" s="149"/>
      <c r="N18" s="149"/>
    </row>
    <row r="19" spans="1:14" ht="12.75">
      <c r="A19" s="146">
        <v>3</v>
      </c>
      <c r="B19" s="167">
        <f>(1/7.5)*1.5*A19</f>
        <v>0.6000000000000001</v>
      </c>
      <c r="C19" s="144"/>
      <c r="D19" s="136" t="s">
        <v>391</v>
      </c>
      <c r="E19" s="137"/>
      <c r="M19" s="149"/>
      <c r="N19" s="149"/>
    </row>
    <row r="20" spans="1:14" ht="12.75">
      <c r="A20" s="146">
        <v>3.5</v>
      </c>
      <c r="B20" s="167">
        <f>(1/7.5)*1.5*3+(1/7.5)*2*(A20-3)</f>
        <v>0.7333333333333334</v>
      </c>
      <c r="C20" s="144"/>
      <c r="D20" s="136" t="s">
        <v>658</v>
      </c>
      <c r="E20" s="137"/>
      <c r="M20" s="149"/>
      <c r="N20" s="149"/>
    </row>
    <row r="21" spans="1:14" ht="12.75">
      <c r="A21" s="146">
        <v>4</v>
      </c>
      <c r="B21" s="167">
        <f>(1/7.5)*1.5*3+(1/7.5)*2*(A21-3)</f>
        <v>0.8666666666666667</v>
      </c>
      <c r="C21" s="144"/>
      <c r="D21" s="136" t="s">
        <v>392</v>
      </c>
      <c r="E21" s="137"/>
      <c r="M21" s="149"/>
      <c r="N21" s="149"/>
    </row>
    <row r="22" spans="1:14" ht="12.75">
      <c r="A22" s="146">
        <v>4.5</v>
      </c>
      <c r="B22" s="167">
        <f>(1/7.5)*1.5*3+(1/7.5)*2*(A22-3)</f>
        <v>1</v>
      </c>
      <c r="C22" s="144"/>
      <c r="D22" s="136" t="s">
        <v>659</v>
      </c>
      <c r="E22" s="137"/>
      <c r="M22" s="149"/>
      <c r="N22" s="149"/>
    </row>
    <row r="23" spans="1:14" ht="12.75">
      <c r="A23" s="147">
        <v>5</v>
      </c>
      <c r="B23" s="168">
        <f>(1/7.5)*1.5*3+(1/7.5)*2*(A23-3)</f>
        <v>1.1333333333333333</v>
      </c>
      <c r="C23" s="145"/>
      <c r="D23" s="141" t="s">
        <v>393</v>
      </c>
      <c r="E23" s="138"/>
      <c r="M23" s="149"/>
      <c r="N23" s="149"/>
    </row>
    <row r="24" spans="13:14" ht="12.75">
      <c r="M24" s="149"/>
      <c r="N24" s="149"/>
    </row>
    <row r="25" spans="1:14" ht="12.75">
      <c r="A25" t="s">
        <v>727</v>
      </c>
      <c r="M25" s="149"/>
      <c r="N25" s="149"/>
    </row>
    <row r="26" spans="1:14" ht="12.75">
      <c r="A26" t="s">
        <v>760</v>
      </c>
      <c r="M26" s="149"/>
      <c r="N26" s="149"/>
    </row>
    <row r="27" spans="13:14" ht="12.75">
      <c r="M27" s="149"/>
      <c r="N27" s="149"/>
    </row>
    <row r="28" spans="1:14" ht="12.75">
      <c r="A28" t="s">
        <v>728</v>
      </c>
      <c r="M28" s="149"/>
      <c r="N28" s="149"/>
    </row>
    <row r="29" spans="1:14" ht="12.75">
      <c r="A29" t="s">
        <v>729</v>
      </c>
      <c r="M29" s="149"/>
      <c r="N29" s="149"/>
    </row>
    <row r="30" spans="13:14" ht="12.75">
      <c r="M30" s="149"/>
      <c r="N30" s="149"/>
    </row>
    <row r="31" spans="1:14" ht="12.75">
      <c r="A31" t="s">
        <v>762</v>
      </c>
      <c r="M31" s="149"/>
      <c r="N31" s="149"/>
    </row>
    <row r="32" spans="1:14" ht="12.75">
      <c r="A32" t="s">
        <v>763</v>
      </c>
      <c r="M32" s="149"/>
      <c r="N32" s="149"/>
    </row>
    <row r="33" spans="13:14" ht="12.75">
      <c r="M33" s="149"/>
      <c r="N33" s="149"/>
    </row>
    <row r="34" spans="13:14" ht="12.75">
      <c r="M34" s="149"/>
      <c r="N34" s="149"/>
    </row>
    <row r="35" spans="13:14" ht="12.75">
      <c r="M35" s="149"/>
      <c r="N35" s="149"/>
    </row>
    <row r="36" spans="13:14" ht="12.75">
      <c r="M36" s="149"/>
      <c r="N36" s="149"/>
    </row>
    <row r="37" spans="13:14" ht="12.75">
      <c r="M37" s="149"/>
      <c r="N37" s="149"/>
    </row>
    <row r="38" spans="13:14" ht="12.75">
      <c r="M38" s="149"/>
      <c r="N38" s="149"/>
    </row>
    <row r="39" spans="13:14" ht="12.75">
      <c r="M39" s="149"/>
      <c r="N39" s="149"/>
    </row>
    <row r="40" spans="13:14" ht="12.75">
      <c r="M40" s="149"/>
      <c r="N40" s="149"/>
    </row>
  </sheetData>
  <sheetProtection sheet="1"/>
  <mergeCells count="2">
    <mergeCell ref="A13:A14"/>
    <mergeCell ref="B13:B14"/>
  </mergeCells>
  <printOptions/>
  <pageMargins left="0.75" right="0.75" top="1" bottom="1" header="0.5" footer="0.5"/>
  <pageSetup fitToHeight="1" fitToWidth="1" horizontalDpi="600" verticalDpi="600" orientation="portrait" paperSize="9" scale="66"/>
</worksheet>
</file>

<file path=xl/worksheets/sheet3.xml><?xml version="1.0" encoding="utf-8"?>
<worksheet xmlns="http://schemas.openxmlformats.org/spreadsheetml/2006/main" xmlns:r="http://schemas.openxmlformats.org/officeDocument/2006/relationships">
  <sheetPr codeName="Ark2">
    <pageSetUpPr fitToPage="1"/>
  </sheetPr>
  <dimension ref="A1:O65"/>
  <sheetViews>
    <sheetView showGridLines="0" showRowColHeaders="0" showZeros="0" showOutlineSymbols="0" zoomScale="80" zoomScaleNormal="80" workbookViewId="0" topLeftCell="A1">
      <selection activeCell="F38" sqref="F38"/>
    </sheetView>
  </sheetViews>
  <sheetFormatPr defaultColWidth="11.421875" defaultRowHeight="12.75"/>
  <cols>
    <col min="1" max="1" width="8.28125" style="77" customWidth="1"/>
    <col min="2" max="2" width="12.00390625" style="77" customWidth="1"/>
    <col min="3" max="16384" width="11.421875" style="77" customWidth="1"/>
  </cols>
  <sheetData>
    <row r="1" spans="8:15" ht="12.75">
      <c r="H1" s="149"/>
      <c r="I1" s="149"/>
      <c r="J1" s="149"/>
      <c r="K1" s="149"/>
      <c r="L1" s="149"/>
      <c r="M1" s="149"/>
      <c r="N1" s="149"/>
      <c r="O1" s="149"/>
    </row>
    <row r="2" spans="8:15" ht="12.75">
      <c r="H2" s="149"/>
      <c r="I2" s="149"/>
      <c r="J2" s="149"/>
      <c r="K2" s="149"/>
      <c r="L2" s="149"/>
      <c r="M2" s="149"/>
      <c r="N2" s="149"/>
      <c r="O2" s="149"/>
    </row>
    <row r="3" spans="8:15" ht="12.75">
      <c r="H3" s="149"/>
      <c r="I3" s="149"/>
      <c r="J3" s="149"/>
      <c r="K3" s="149"/>
      <c r="L3" s="149"/>
      <c r="M3" s="149"/>
      <c r="N3" s="149"/>
      <c r="O3" s="149"/>
    </row>
    <row r="4" spans="8:15" ht="12.75">
      <c r="H4" s="149"/>
      <c r="I4" s="149"/>
      <c r="J4" s="149"/>
      <c r="K4" s="149"/>
      <c r="L4" s="149"/>
      <c r="M4" s="149"/>
      <c r="N4" s="149"/>
      <c r="O4" s="149"/>
    </row>
    <row r="5" spans="8:15" ht="12.75">
      <c r="H5" s="149"/>
      <c r="I5" s="149"/>
      <c r="J5" s="149"/>
      <c r="K5" s="149"/>
      <c r="L5" s="149"/>
      <c r="M5" s="149"/>
      <c r="N5" s="149"/>
      <c r="O5" s="149"/>
    </row>
    <row r="6" spans="8:15" ht="12.75">
      <c r="H6" s="149"/>
      <c r="I6" s="149"/>
      <c r="J6" s="149"/>
      <c r="K6" s="149"/>
      <c r="L6" s="149"/>
      <c r="M6" s="149"/>
      <c r="N6" s="149"/>
      <c r="O6" s="149"/>
    </row>
    <row r="7" spans="8:15" ht="12.75">
      <c r="H7" s="149"/>
      <c r="I7" s="149"/>
      <c r="J7" s="149"/>
      <c r="K7" s="149"/>
      <c r="L7" s="149"/>
      <c r="M7" s="149"/>
      <c r="N7" s="149"/>
      <c r="O7" s="149"/>
    </row>
    <row r="8" spans="2:15" ht="33">
      <c r="B8" s="81" t="s">
        <v>434</v>
      </c>
      <c r="H8" s="149"/>
      <c r="I8" s="149"/>
      <c r="J8" s="149"/>
      <c r="K8" s="149"/>
      <c r="L8" s="149"/>
      <c r="M8" s="149"/>
      <c r="N8" s="149"/>
      <c r="O8" s="149"/>
    </row>
    <row r="9" spans="8:15" ht="12.75">
      <c r="H9" s="149"/>
      <c r="I9" s="149"/>
      <c r="J9" s="149"/>
      <c r="K9" s="149"/>
      <c r="L9" s="149"/>
      <c r="M9" s="149"/>
      <c r="N9" s="149"/>
      <c r="O9" s="149"/>
    </row>
    <row r="10" spans="8:15" ht="12.75">
      <c r="H10" s="149"/>
      <c r="I10" s="149"/>
      <c r="J10" s="149"/>
      <c r="K10" s="149"/>
      <c r="L10" s="149"/>
      <c r="M10" s="149"/>
      <c r="N10" s="149"/>
      <c r="O10" s="149"/>
    </row>
    <row r="11" spans="8:15" ht="12.75">
      <c r="H11" s="149"/>
      <c r="I11" s="149"/>
      <c r="J11" s="149"/>
      <c r="K11" s="149"/>
      <c r="L11" s="149"/>
      <c r="M11" s="149"/>
      <c r="N11" s="149"/>
      <c r="O11" s="149"/>
    </row>
    <row r="12" spans="8:15" ht="12.75">
      <c r="H12" s="149"/>
      <c r="I12" s="149"/>
      <c r="J12" s="149"/>
      <c r="K12" s="149"/>
      <c r="L12" s="149"/>
      <c r="M12" s="149"/>
      <c r="N12" s="149"/>
      <c r="O12" s="149"/>
    </row>
    <row r="13" spans="1:15" s="118" customFormat="1" ht="18">
      <c r="A13" s="77"/>
      <c r="B13" s="77"/>
      <c r="C13" s="77"/>
      <c r="D13" s="77"/>
      <c r="E13" s="77"/>
      <c r="F13" s="77"/>
      <c r="G13" s="77"/>
      <c r="H13" s="149"/>
      <c r="I13" s="149"/>
      <c r="J13" s="149"/>
      <c r="K13" s="149"/>
      <c r="L13" s="149"/>
      <c r="M13" s="149"/>
      <c r="N13" s="149"/>
      <c r="O13" s="149"/>
    </row>
    <row r="14" spans="1:15" ht="18">
      <c r="A14" s="118"/>
      <c r="B14" s="118" t="s">
        <v>435</v>
      </c>
      <c r="C14" s="118">
        <f>FORUTSETNINGER!C4</f>
        <v>0</v>
      </c>
      <c r="D14" s="118"/>
      <c r="E14" s="118"/>
      <c r="F14" s="118"/>
      <c r="G14" s="118"/>
      <c r="H14" s="149"/>
      <c r="I14" s="149"/>
      <c r="J14" s="149"/>
      <c r="K14" s="149"/>
      <c r="L14" s="149"/>
      <c r="M14" s="149"/>
      <c r="N14" s="149"/>
      <c r="O14" s="149"/>
    </row>
    <row r="15" spans="8:15" ht="12.75">
      <c r="H15" s="149"/>
      <c r="I15" s="149"/>
      <c r="J15" s="149"/>
      <c r="K15" s="149"/>
      <c r="L15" s="149"/>
      <c r="M15" s="149"/>
      <c r="N15" s="149"/>
      <c r="O15" s="149"/>
    </row>
    <row r="16" spans="8:15" ht="12.75">
      <c r="H16" s="149"/>
      <c r="I16" s="149"/>
      <c r="J16" s="149"/>
      <c r="K16" s="149"/>
      <c r="L16" s="149"/>
      <c r="M16" s="149"/>
      <c r="N16" s="149"/>
      <c r="O16" s="149"/>
    </row>
    <row r="17" spans="2:15" ht="20.25">
      <c r="B17" s="214"/>
      <c r="H17" s="149"/>
      <c r="I17" s="149"/>
      <c r="J17" s="149"/>
      <c r="K17" s="149"/>
      <c r="L17" s="149"/>
      <c r="M17" s="149"/>
      <c r="N17" s="149"/>
      <c r="O17" s="149"/>
    </row>
    <row r="18" spans="2:15" ht="20.25">
      <c r="B18" s="214"/>
      <c r="H18" s="149"/>
      <c r="I18" s="149"/>
      <c r="J18" s="149"/>
      <c r="K18" s="149"/>
      <c r="L18" s="149"/>
      <c r="M18" s="149"/>
      <c r="N18" s="149"/>
      <c r="O18" s="149"/>
    </row>
    <row r="19" spans="2:15" ht="20.25">
      <c r="B19" s="214"/>
      <c r="H19" s="149"/>
      <c r="I19" s="149"/>
      <c r="J19" s="149"/>
      <c r="K19" s="149"/>
      <c r="L19" s="149"/>
      <c r="M19" s="149"/>
      <c r="N19" s="149"/>
      <c r="O19" s="149"/>
    </row>
    <row r="20" spans="2:15" ht="20.25">
      <c r="B20" s="214"/>
      <c r="H20" s="149"/>
      <c r="I20" s="149"/>
      <c r="J20" s="149"/>
      <c r="K20" s="149"/>
      <c r="L20" s="149"/>
      <c r="M20" s="149"/>
      <c r="N20" s="149"/>
      <c r="O20" s="149"/>
    </row>
    <row r="21" spans="2:15" ht="20.25">
      <c r="B21" s="214"/>
      <c r="H21" s="149"/>
      <c r="I21" s="149"/>
      <c r="J21" s="149"/>
      <c r="K21" s="149"/>
      <c r="L21" s="149"/>
      <c r="M21" s="149"/>
      <c r="N21" s="149"/>
      <c r="O21" s="149"/>
    </row>
    <row r="22" spans="8:15" ht="12.75">
      <c r="H22" s="149"/>
      <c r="I22" s="149"/>
      <c r="J22" s="149"/>
      <c r="K22" s="149"/>
      <c r="L22" s="149"/>
      <c r="M22" s="149"/>
      <c r="N22" s="149"/>
      <c r="O22" s="149"/>
    </row>
    <row r="23" spans="8:15" ht="12.75">
      <c r="H23" s="149"/>
      <c r="I23" s="149"/>
      <c r="J23" s="149"/>
      <c r="K23" s="149"/>
      <c r="L23" s="149"/>
      <c r="M23" s="149"/>
      <c r="N23" s="149"/>
      <c r="O23" s="149"/>
    </row>
    <row r="24" spans="8:15" ht="12.75">
      <c r="H24" s="149"/>
      <c r="I24" s="149"/>
      <c r="J24" s="149"/>
      <c r="K24" s="149"/>
      <c r="L24" s="149"/>
      <c r="M24" s="149"/>
      <c r="N24" s="149"/>
      <c r="O24" s="149"/>
    </row>
    <row r="25" spans="8:15" ht="12.75">
      <c r="H25" s="149"/>
      <c r="I25" s="149"/>
      <c r="J25" s="149"/>
      <c r="K25" s="149"/>
      <c r="L25" s="149"/>
      <c r="M25" s="149"/>
      <c r="N25" s="149"/>
      <c r="O25" s="149"/>
    </row>
    <row r="26" spans="8:15" ht="12.75">
      <c r="H26" s="149"/>
      <c r="I26" s="149"/>
      <c r="J26" s="149"/>
      <c r="K26" s="149"/>
      <c r="L26" s="149"/>
      <c r="M26" s="149"/>
      <c r="N26" s="149"/>
      <c r="O26" s="149"/>
    </row>
    <row r="27" spans="8:15" ht="12.75">
      <c r="H27" s="149"/>
      <c r="I27" s="149"/>
      <c r="J27" s="149"/>
      <c r="K27" s="149"/>
      <c r="L27" s="149"/>
      <c r="M27" s="149"/>
      <c r="N27" s="149"/>
      <c r="O27" s="149"/>
    </row>
    <row r="28" spans="8:15" ht="12.75">
      <c r="H28" s="149"/>
      <c r="I28" s="149"/>
      <c r="J28" s="149"/>
      <c r="K28" s="149"/>
      <c r="L28" s="149"/>
      <c r="M28" s="149"/>
      <c r="N28" s="149"/>
      <c r="O28" s="149"/>
    </row>
    <row r="29" spans="8:15" ht="12.75">
      <c r="H29" s="149"/>
      <c r="I29" s="149"/>
      <c r="J29" s="149"/>
      <c r="K29" s="149"/>
      <c r="L29" s="149"/>
      <c r="M29" s="149"/>
      <c r="N29" s="149"/>
      <c r="O29" s="149"/>
    </row>
    <row r="30" spans="8:15" ht="12.75">
      <c r="H30" s="149"/>
      <c r="I30" s="149"/>
      <c r="J30" s="149"/>
      <c r="K30" s="149"/>
      <c r="L30" s="149"/>
      <c r="M30" s="149"/>
      <c r="N30" s="149"/>
      <c r="O30" s="149"/>
    </row>
    <row r="31" spans="8:15" ht="12.75">
      <c r="H31" s="149"/>
      <c r="I31" s="149"/>
      <c r="J31" s="149"/>
      <c r="K31" s="149"/>
      <c r="L31" s="149"/>
      <c r="M31" s="149"/>
      <c r="N31" s="149"/>
      <c r="O31" s="149"/>
    </row>
    <row r="32" spans="8:15" ht="12.75">
      <c r="H32" s="149"/>
      <c r="I32" s="149"/>
      <c r="J32" s="149"/>
      <c r="K32" s="149"/>
      <c r="L32" s="149"/>
      <c r="M32" s="149"/>
      <c r="N32" s="149"/>
      <c r="O32" s="149"/>
    </row>
    <row r="33" spans="8:15" ht="12.75">
      <c r="H33" s="149"/>
      <c r="I33" s="149"/>
      <c r="J33" s="149"/>
      <c r="K33" s="149"/>
      <c r="L33" s="149"/>
      <c r="M33" s="149"/>
      <c r="N33" s="149"/>
      <c r="O33" s="149"/>
    </row>
    <row r="34" spans="8:15" ht="12.75">
      <c r="H34" s="149"/>
      <c r="I34" s="149"/>
      <c r="J34" s="149"/>
      <c r="K34" s="149"/>
      <c r="L34" s="149"/>
      <c r="M34" s="149"/>
      <c r="N34" s="149"/>
      <c r="O34" s="149"/>
    </row>
    <row r="35" spans="8:15" ht="12.75">
      <c r="H35" s="149"/>
      <c r="I35" s="149"/>
      <c r="J35" s="149"/>
      <c r="K35" s="149"/>
      <c r="L35" s="149"/>
      <c r="M35" s="149"/>
      <c r="N35" s="149"/>
      <c r="O35" s="149"/>
    </row>
    <row r="36" spans="2:15" ht="15">
      <c r="B36" s="119"/>
      <c r="H36" s="149"/>
      <c r="I36" s="149"/>
      <c r="J36" s="149"/>
      <c r="K36" s="149"/>
      <c r="L36" s="149"/>
      <c r="M36" s="149"/>
      <c r="N36" s="149"/>
      <c r="O36" s="149"/>
    </row>
    <row r="37" spans="2:15" ht="15">
      <c r="B37" s="119"/>
      <c r="H37" s="149"/>
      <c r="I37" s="149"/>
      <c r="J37" s="149"/>
      <c r="K37" s="149"/>
      <c r="L37" s="149"/>
      <c r="M37" s="149"/>
      <c r="N37" s="149"/>
      <c r="O37" s="149"/>
    </row>
    <row r="38" spans="5:15" ht="15">
      <c r="E38" s="222" t="s">
        <v>436</v>
      </c>
      <c r="F38" s="223">
        <f>FORUTSETNINGER!C8</f>
        <v>0</v>
      </c>
      <c r="H38" s="149"/>
      <c r="I38" s="149"/>
      <c r="J38" s="149"/>
      <c r="K38" s="149"/>
      <c r="L38" s="149"/>
      <c r="M38" s="149"/>
      <c r="N38" s="149"/>
      <c r="O38" s="149"/>
    </row>
    <row r="39" spans="8:15" ht="12.75">
      <c r="H39" s="149"/>
      <c r="I39" s="149"/>
      <c r="J39" s="149"/>
      <c r="K39" s="149"/>
      <c r="L39" s="149"/>
      <c r="M39" s="149"/>
      <c r="N39" s="149"/>
      <c r="O39" s="149"/>
    </row>
    <row r="40" spans="8:15" ht="12.75">
      <c r="H40" s="149"/>
      <c r="I40" s="149"/>
      <c r="J40" s="149"/>
      <c r="K40" s="149"/>
      <c r="L40" s="149"/>
      <c r="M40" s="149"/>
      <c r="N40" s="149"/>
      <c r="O40" s="149"/>
    </row>
    <row r="41" spans="8:15" ht="12.75">
      <c r="H41" s="149"/>
      <c r="I41" s="149"/>
      <c r="J41" s="149"/>
      <c r="K41" s="149"/>
      <c r="L41" s="149"/>
      <c r="M41" s="149"/>
      <c r="N41" s="149"/>
      <c r="O41" s="149"/>
    </row>
    <row r="42" spans="8:15" ht="12.75">
      <c r="H42" s="149"/>
      <c r="I42" s="149"/>
      <c r="J42" s="149"/>
      <c r="K42" s="149"/>
      <c r="L42" s="149"/>
      <c r="M42" s="149"/>
      <c r="N42" s="149"/>
      <c r="O42" s="149"/>
    </row>
    <row r="43" spans="8:15" ht="12.75">
      <c r="H43" s="149"/>
      <c r="I43" s="149"/>
      <c r="J43" s="149"/>
      <c r="K43" s="149"/>
      <c r="L43" s="149"/>
      <c r="M43" s="149"/>
      <c r="N43" s="149"/>
      <c r="O43" s="149"/>
    </row>
    <row r="44" spans="8:15" ht="12.75">
      <c r="H44" s="149"/>
      <c r="I44" s="149"/>
      <c r="J44" s="149"/>
      <c r="K44" s="149"/>
      <c r="L44" s="149"/>
      <c r="M44" s="149"/>
      <c r="N44" s="149"/>
      <c r="O44" s="149"/>
    </row>
    <row r="45" spans="8:15" ht="12.75">
      <c r="H45" s="149"/>
      <c r="I45" s="149"/>
      <c r="J45" s="149"/>
      <c r="K45" s="149"/>
      <c r="L45" s="149"/>
      <c r="M45" s="149"/>
      <c r="N45" s="149"/>
      <c r="O45" s="149"/>
    </row>
    <row r="46" spans="8:15" ht="12.75">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pans="1:15" ht="12.75">
      <c r="A49" s="149"/>
      <c r="B49" s="149"/>
      <c r="C49" s="149"/>
      <c r="D49" s="149"/>
      <c r="E49" s="149"/>
      <c r="F49" s="149"/>
      <c r="G49" s="149"/>
      <c r="H49" s="149"/>
      <c r="I49" s="149"/>
      <c r="J49" s="149"/>
      <c r="K49" s="149"/>
      <c r="L49" s="149"/>
      <c r="M49" s="149"/>
      <c r="N49" s="149"/>
      <c r="O49" s="149"/>
    </row>
    <row r="50" spans="1:15" ht="12.75">
      <c r="A50" s="149"/>
      <c r="B50" s="149"/>
      <c r="C50" s="149"/>
      <c r="D50" s="149"/>
      <c r="E50" s="149"/>
      <c r="F50" s="149"/>
      <c r="G50" s="149"/>
      <c r="H50" s="149"/>
      <c r="I50" s="149"/>
      <c r="J50" s="149"/>
      <c r="K50" s="149"/>
      <c r="L50" s="149"/>
      <c r="M50" s="149"/>
      <c r="N50" s="149"/>
      <c r="O50" s="149"/>
    </row>
    <row r="51" spans="1:15" ht="12.75">
      <c r="A51" s="149"/>
      <c r="B51" s="149"/>
      <c r="C51" s="149"/>
      <c r="D51" s="149"/>
      <c r="E51" s="149"/>
      <c r="F51" s="149"/>
      <c r="G51" s="149"/>
      <c r="H51" s="149"/>
      <c r="I51" s="149"/>
      <c r="J51" s="149"/>
      <c r="K51" s="149"/>
      <c r="L51" s="149"/>
      <c r="M51" s="149"/>
      <c r="N51" s="149"/>
      <c r="O51" s="149"/>
    </row>
    <row r="52" spans="1:15" ht="12.75">
      <c r="A52" s="149"/>
      <c r="B52" s="149"/>
      <c r="C52" s="149"/>
      <c r="D52" s="149"/>
      <c r="E52" s="149"/>
      <c r="F52" s="149"/>
      <c r="G52" s="149"/>
      <c r="H52" s="149"/>
      <c r="I52" s="149"/>
      <c r="J52" s="149"/>
      <c r="K52" s="149"/>
      <c r="L52" s="149"/>
      <c r="M52" s="149"/>
      <c r="N52" s="149"/>
      <c r="O52" s="149"/>
    </row>
    <row r="53" spans="1:15" ht="12.75">
      <c r="A53" s="149"/>
      <c r="B53" s="149"/>
      <c r="C53" s="149"/>
      <c r="D53" s="149"/>
      <c r="E53" s="149"/>
      <c r="F53" s="149"/>
      <c r="G53" s="149"/>
      <c r="H53" s="149"/>
      <c r="I53" s="149"/>
      <c r="J53" s="149"/>
      <c r="K53" s="149"/>
      <c r="L53" s="149"/>
      <c r="M53" s="149"/>
      <c r="N53" s="149"/>
      <c r="O53" s="149"/>
    </row>
    <row r="54" spans="1:15" ht="12.75">
      <c r="A54" s="149"/>
      <c r="B54" s="149"/>
      <c r="C54" s="149"/>
      <c r="D54" s="149"/>
      <c r="E54" s="149"/>
      <c r="F54" s="149"/>
      <c r="G54" s="149"/>
      <c r="H54" s="149"/>
      <c r="I54" s="149"/>
      <c r="J54" s="149"/>
      <c r="K54" s="149"/>
      <c r="L54" s="149"/>
      <c r="M54" s="149"/>
      <c r="N54" s="149"/>
      <c r="O54" s="149"/>
    </row>
    <row r="55" spans="1:15" ht="12.75">
      <c r="A55" s="149"/>
      <c r="B55" s="149"/>
      <c r="C55" s="149"/>
      <c r="D55" s="149"/>
      <c r="E55" s="149"/>
      <c r="F55" s="149"/>
      <c r="G55" s="149"/>
      <c r="H55" s="149"/>
      <c r="I55" s="149"/>
      <c r="J55" s="149"/>
      <c r="K55" s="149"/>
      <c r="L55" s="149"/>
      <c r="M55" s="149"/>
      <c r="N55" s="149"/>
      <c r="O55" s="149"/>
    </row>
    <row r="56" spans="1:15" ht="12.75">
      <c r="A56" s="149"/>
      <c r="B56" s="149"/>
      <c r="C56" s="149"/>
      <c r="D56" s="149"/>
      <c r="E56" s="149"/>
      <c r="F56" s="149"/>
      <c r="G56" s="149"/>
      <c r="H56" s="149"/>
      <c r="I56" s="149"/>
      <c r="J56" s="149"/>
      <c r="K56" s="149"/>
      <c r="L56" s="149"/>
      <c r="M56" s="149"/>
      <c r="N56" s="149"/>
      <c r="O56" s="149"/>
    </row>
    <row r="57" spans="1:15" ht="12.75">
      <c r="A57" s="149"/>
      <c r="B57" s="149"/>
      <c r="C57" s="149"/>
      <c r="D57" s="149"/>
      <c r="E57" s="149"/>
      <c r="F57" s="149"/>
      <c r="G57" s="149"/>
      <c r="H57" s="149"/>
      <c r="I57" s="149"/>
      <c r="J57" s="149"/>
      <c r="K57" s="149"/>
      <c r="L57" s="149"/>
      <c r="M57" s="149"/>
      <c r="N57" s="149"/>
      <c r="O57" s="149"/>
    </row>
    <row r="58" spans="1:15" ht="12.75">
      <c r="A58" s="149"/>
      <c r="B58" s="149"/>
      <c r="C58" s="149"/>
      <c r="D58" s="149"/>
      <c r="E58" s="149"/>
      <c r="F58" s="149"/>
      <c r="G58" s="149"/>
      <c r="H58" s="149"/>
      <c r="I58" s="149"/>
      <c r="J58" s="149"/>
      <c r="K58" s="149"/>
      <c r="L58" s="149"/>
      <c r="M58" s="149"/>
      <c r="N58" s="149"/>
      <c r="O58" s="149"/>
    </row>
    <row r="59" spans="1:15" ht="12.75">
      <c r="A59" s="149"/>
      <c r="B59" s="149"/>
      <c r="C59" s="149"/>
      <c r="D59" s="149"/>
      <c r="E59" s="149"/>
      <c r="F59" s="149"/>
      <c r="G59" s="149"/>
      <c r="H59" s="149"/>
      <c r="I59" s="149"/>
      <c r="J59" s="149"/>
      <c r="K59" s="149"/>
      <c r="L59" s="149"/>
      <c r="M59" s="149"/>
      <c r="N59" s="149"/>
      <c r="O59" s="149"/>
    </row>
    <row r="60" spans="1:15" ht="12.75">
      <c r="A60" s="149"/>
      <c r="B60" s="149"/>
      <c r="C60" s="149"/>
      <c r="D60" s="149"/>
      <c r="E60" s="149"/>
      <c r="F60" s="149"/>
      <c r="G60" s="149"/>
      <c r="H60" s="149"/>
      <c r="I60" s="149"/>
      <c r="J60" s="149"/>
      <c r="K60" s="149"/>
      <c r="L60" s="149"/>
      <c r="M60" s="149"/>
      <c r="N60" s="149"/>
      <c r="O60" s="149"/>
    </row>
    <row r="61" spans="1:7" ht="12.75">
      <c r="A61" s="149"/>
      <c r="B61" s="149"/>
      <c r="C61" s="149"/>
      <c r="D61" s="149"/>
      <c r="E61" s="149"/>
      <c r="F61" s="149"/>
      <c r="G61" s="149"/>
    </row>
    <row r="62" spans="1:7" ht="12.75">
      <c r="A62" s="149"/>
      <c r="B62" s="149"/>
      <c r="C62" s="149"/>
      <c r="D62" s="149"/>
      <c r="E62" s="149"/>
      <c r="F62" s="149"/>
      <c r="G62" s="149"/>
    </row>
    <row r="63" spans="1:7" ht="12.75">
      <c r="A63" s="149"/>
      <c r="B63" s="149"/>
      <c r="C63" s="149"/>
      <c r="D63" s="149"/>
      <c r="E63" s="149"/>
      <c r="F63" s="149"/>
      <c r="G63" s="149"/>
    </row>
    <row r="64" spans="1:7" ht="12.75">
      <c r="A64" s="149"/>
      <c r="B64" s="149"/>
      <c r="C64" s="149"/>
      <c r="D64" s="149"/>
      <c r="E64" s="149"/>
      <c r="F64" s="149"/>
      <c r="G64" s="149"/>
    </row>
    <row r="65" spans="1:7" ht="12.75">
      <c r="A65" s="149"/>
      <c r="B65" s="149"/>
      <c r="C65" s="149"/>
      <c r="D65" s="149"/>
      <c r="E65" s="149"/>
      <c r="F65" s="149"/>
      <c r="G65" s="149"/>
    </row>
  </sheetData>
  <sheetProtection sheet="1"/>
  <printOptions/>
  <pageMargins left="1.7322834645669292" right="0.7874015748031497" top="1.968503937007874" bottom="0.984251968503937" header="0.5118110236220472" footer="0.5118110236220472"/>
  <pageSetup blackAndWhite="1" fitToHeight="1" fitToWidth="1" horizontalDpi="300" verticalDpi="300" orientation="portrait" paperSize="9" scale="95"/>
</worksheet>
</file>

<file path=xl/worksheets/sheet4.xml><?xml version="1.0" encoding="utf-8"?>
<worksheet xmlns="http://schemas.openxmlformats.org/spreadsheetml/2006/main" xmlns:r="http://schemas.openxmlformats.org/officeDocument/2006/relationships">
  <sheetPr codeName="Ark3">
    <pageSetUpPr fitToPage="1"/>
  </sheetPr>
  <dimension ref="A1:U77"/>
  <sheetViews>
    <sheetView showGridLines="0" showRowColHeaders="0" showOutlineSymbols="0" workbookViewId="0" topLeftCell="A1">
      <selection activeCell="F6" sqref="F6"/>
    </sheetView>
  </sheetViews>
  <sheetFormatPr defaultColWidth="11.421875" defaultRowHeight="12.75"/>
  <cols>
    <col min="1" max="1" width="5.00390625" style="87" customWidth="1"/>
    <col min="2" max="2" width="14.8515625" style="87" customWidth="1"/>
    <col min="3" max="3" width="11.00390625" style="87" customWidth="1"/>
    <col min="4" max="4" width="2.421875" style="87" customWidth="1"/>
    <col min="5" max="5" width="10.00390625" style="106" customWidth="1"/>
    <col min="6" max="6" width="6.8515625" style="87" customWidth="1"/>
    <col min="7" max="7" width="4.421875" style="111" customWidth="1"/>
    <col min="8" max="8" width="4.140625" style="111" customWidth="1"/>
    <col min="9" max="9" width="2.421875" style="111" customWidth="1"/>
    <col min="10" max="10" width="2.140625" style="111" customWidth="1"/>
    <col min="11" max="11" width="6.7109375" style="87" customWidth="1"/>
    <col min="12" max="12" width="4.28125" style="87" customWidth="1"/>
    <col min="13" max="13" width="5.00390625" style="87" customWidth="1"/>
    <col min="14" max="14" width="92.140625" style="87" customWidth="1"/>
    <col min="15" max="15" width="11.421875" style="87" customWidth="1"/>
    <col min="16" max="21" width="11.421875" style="169" customWidth="1"/>
    <col min="22" max="16384" width="11.421875" style="87" customWidth="1"/>
  </cols>
  <sheetData>
    <row r="1" spans="14:15" ht="12.75">
      <c r="N1" s="211">
        <f>1+(E40/100)</f>
        <v>1</v>
      </c>
      <c r="O1" s="149"/>
    </row>
    <row r="2" spans="2:15" ht="15.75">
      <c r="B2" s="148" t="s">
        <v>313</v>
      </c>
      <c r="C2" s="148"/>
      <c r="D2" s="148"/>
      <c r="E2" s="101"/>
      <c r="F2" s="84"/>
      <c r="G2" s="107"/>
      <c r="H2" s="107"/>
      <c r="I2" s="107"/>
      <c r="J2" s="107"/>
      <c r="N2" s="211">
        <f>1+(E41/100)</f>
        <v>1.25</v>
      </c>
      <c r="O2" s="149"/>
    </row>
    <row r="3" spans="2:15" ht="12.75">
      <c r="B3" s="82"/>
      <c r="C3" s="82"/>
      <c r="D3" s="82"/>
      <c r="E3" s="102"/>
      <c r="F3" s="85"/>
      <c r="G3" s="107"/>
      <c r="H3" s="107"/>
      <c r="I3" s="107"/>
      <c r="J3" s="107"/>
      <c r="N3" s="211">
        <f>1+(E42/100)</f>
        <v>1.08</v>
      </c>
      <c r="O3" s="149"/>
    </row>
    <row r="4" spans="2:15" ht="12.75">
      <c r="B4" s="83" t="s">
        <v>437</v>
      </c>
      <c r="C4" s="602"/>
      <c r="D4" s="602"/>
      <c r="E4" s="602"/>
      <c r="F4" s="603"/>
      <c r="G4" s="107"/>
      <c r="H4" s="107"/>
      <c r="I4" s="107"/>
      <c r="J4" s="107"/>
      <c r="N4" s="149"/>
      <c r="O4" s="149"/>
    </row>
    <row r="5" spans="2:15" ht="12.75">
      <c r="B5" s="83"/>
      <c r="C5" s="370"/>
      <c r="D5" s="370"/>
      <c r="E5" s="370"/>
      <c r="F5" s="371"/>
      <c r="G5" s="107"/>
      <c r="H5" s="107"/>
      <c r="I5" s="107"/>
      <c r="J5" s="107"/>
      <c r="N5" s="149"/>
      <c r="O5" s="149"/>
    </row>
    <row r="6" spans="2:15" ht="12.75">
      <c r="B6" s="83" t="s">
        <v>732</v>
      </c>
      <c r="C6" s="370"/>
      <c r="D6" s="370"/>
      <c r="E6" s="370"/>
      <c r="F6" s="371"/>
      <c r="G6" s="107"/>
      <c r="H6" s="107"/>
      <c r="I6" s="107"/>
      <c r="J6" s="107"/>
      <c r="N6" s="149"/>
      <c r="O6" s="149"/>
    </row>
    <row r="7" spans="2:15" ht="12.75">
      <c r="B7" s="83"/>
      <c r="C7" s="82"/>
      <c r="D7" s="82"/>
      <c r="E7" s="102"/>
      <c r="F7" s="85"/>
      <c r="G7" s="107"/>
      <c r="H7" s="107"/>
      <c r="I7" s="107"/>
      <c r="J7" s="107"/>
      <c r="N7" s="149"/>
      <c r="O7" s="149"/>
    </row>
    <row r="8" spans="2:15" ht="12.75">
      <c r="B8" s="83" t="s">
        <v>315</v>
      </c>
      <c r="C8" s="390"/>
      <c r="D8" s="205"/>
      <c r="E8" s="102"/>
      <c r="F8" s="85"/>
      <c r="G8" s="107"/>
      <c r="H8" s="107"/>
      <c r="I8" s="107"/>
      <c r="J8" s="107"/>
      <c r="N8" s="149"/>
      <c r="O8" s="149"/>
    </row>
    <row r="9" spans="2:15" ht="12.75">
      <c r="B9" s="83"/>
      <c r="C9" s="82"/>
      <c r="D9" s="82"/>
      <c r="E9" s="102"/>
      <c r="F9" s="85"/>
      <c r="G9" s="107"/>
      <c r="H9" s="107"/>
      <c r="I9" s="107"/>
      <c r="J9" s="107"/>
      <c r="N9" s="149"/>
      <c r="O9" s="149"/>
    </row>
    <row r="10" spans="2:15" ht="12.75">
      <c r="B10" s="83" t="s">
        <v>316</v>
      </c>
      <c r="C10" s="240"/>
      <c r="D10" s="236"/>
      <c r="E10" s="102"/>
      <c r="F10" s="85"/>
      <c r="G10" s="107"/>
      <c r="H10" s="107"/>
      <c r="I10" s="107"/>
      <c r="J10" s="107"/>
      <c r="N10" s="149"/>
      <c r="O10" s="149"/>
    </row>
    <row r="11" spans="2:15" ht="12.75">
      <c r="B11" s="83"/>
      <c r="C11" s="83"/>
      <c r="D11" s="83"/>
      <c r="E11" s="102"/>
      <c r="F11" s="85"/>
      <c r="G11" s="107"/>
      <c r="H11" s="107"/>
      <c r="I11" s="107"/>
      <c r="J11" s="107"/>
      <c r="N11" s="149"/>
      <c r="O11" s="149"/>
    </row>
    <row r="12" spans="2:15" ht="12.75">
      <c r="B12" s="83" t="s">
        <v>438</v>
      </c>
      <c r="C12" s="83"/>
      <c r="D12" s="83" t="s">
        <v>657</v>
      </c>
      <c r="E12" s="101" t="s">
        <v>772</v>
      </c>
      <c r="F12" s="84"/>
      <c r="G12" s="107"/>
      <c r="H12" s="107"/>
      <c r="I12" s="107"/>
      <c r="J12" s="107"/>
      <c r="N12" s="149"/>
      <c r="O12" s="149"/>
    </row>
    <row r="13" spans="2:15" ht="12.75">
      <c r="B13" s="83" t="s">
        <v>656</v>
      </c>
      <c r="C13" s="83"/>
      <c r="D13" s="83" t="s">
        <v>657</v>
      </c>
      <c r="E13" s="103"/>
      <c r="F13" s="84" t="s">
        <v>439</v>
      </c>
      <c r="G13" s="107"/>
      <c r="H13" s="107"/>
      <c r="I13" s="107"/>
      <c r="J13" s="107"/>
      <c r="N13" s="149"/>
      <c r="O13" s="149"/>
    </row>
    <row r="14" spans="2:15" ht="12.75">
      <c r="B14" s="83" t="s">
        <v>773</v>
      </c>
      <c r="C14" s="83"/>
      <c r="D14" s="83" t="s">
        <v>657</v>
      </c>
      <c r="E14" s="103"/>
      <c r="F14" s="85"/>
      <c r="G14" s="107"/>
      <c r="H14" s="107"/>
      <c r="I14" s="107"/>
      <c r="J14" s="107"/>
      <c r="N14" s="149"/>
      <c r="O14" s="149"/>
    </row>
    <row r="15" spans="2:15" ht="12.75">
      <c r="B15" s="235"/>
      <c r="C15" s="83"/>
      <c r="D15" s="83"/>
      <c r="E15" s="103"/>
      <c r="F15" s="84"/>
      <c r="G15" s="107"/>
      <c r="H15" s="107"/>
      <c r="I15" s="107"/>
      <c r="J15" s="107"/>
      <c r="N15" s="149"/>
      <c r="O15" s="149"/>
    </row>
    <row r="16" spans="2:15" ht="12.75">
      <c r="B16" s="56" t="s">
        <v>440</v>
      </c>
      <c r="C16" s="56"/>
      <c r="D16" s="83" t="s">
        <v>657</v>
      </c>
      <c r="E16" s="80">
        <v>0</v>
      </c>
      <c r="F16" s="78" t="s">
        <v>441</v>
      </c>
      <c r="G16" s="108"/>
      <c r="H16" s="108"/>
      <c r="I16" s="108"/>
      <c r="J16" s="108"/>
      <c r="N16" s="149"/>
      <c r="O16" s="149"/>
    </row>
    <row r="17" spans="2:15" ht="12.75">
      <c r="B17" s="56" t="s">
        <v>442</v>
      </c>
      <c r="C17" s="56"/>
      <c r="D17" s="83" t="s">
        <v>657</v>
      </c>
      <c r="E17" s="80">
        <v>0</v>
      </c>
      <c r="F17" s="78" t="s">
        <v>443</v>
      </c>
      <c r="G17" s="108"/>
      <c r="H17" s="108"/>
      <c r="I17" s="108"/>
      <c r="J17" s="108"/>
      <c r="N17" s="149"/>
      <c r="O17" s="149"/>
    </row>
    <row r="18" spans="2:15" ht="12.75">
      <c r="B18" s="56" t="s">
        <v>444</v>
      </c>
      <c r="C18" s="56"/>
      <c r="D18" s="83" t="s">
        <v>657</v>
      </c>
      <c r="E18" s="80">
        <v>0</v>
      </c>
      <c r="F18" s="78" t="s">
        <v>441</v>
      </c>
      <c r="G18" s="108"/>
      <c r="H18" s="108"/>
      <c r="I18" s="108"/>
      <c r="J18" s="108"/>
      <c r="N18" s="149"/>
      <c r="O18" s="149"/>
    </row>
    <row r="19" spans="2:15" ht="12.75">
      <c r="B19" s="56" t="s">
        <v>445</v>
      </c>
      <c r="C19" s="56"/>
      <c r="D19" s="83" t="s">
        <v>657</v>
      </c>
      <c r="E19" s="104">
        <f>SUM(E16:E18)</f>
        <v>0</v>
      </c>
      <c r="F19" s="78" t="s">
        <v>441</v>
      </c>
      <c r="G19" s="89"/>
      <c r="H19" s="89"/>
      <c r="I19" s="89"/>
      <c r="J19" s="89"/>
      <c r="N19" s="149"/>
      <c r="O19" s="149"/>
    </row>
    <row r="20" spans="2:21" ht="12.75">
      <c r="B20" s="56" t="s">
        <v>446</v>
      </c>
      <c r="C20" s="56"/>
      <c r="D20" s="83" t="s">
        <v>657</v>
      </c>
      <c r="E20" s="80">
        <v>0</v>
      </c>
      <c r="F20" s="78" t="s">
        <v>441</v>
      </c>
      <c r="G20" s="108"/>
      <c r="H20" s="108"/>
      <c r="I20" s="108"/>
      <c r="J20" s="108"/>
      <c r="N20" s="149"/>
      <c r="O20" s="149"/>
      <c r="T20" s="87"/>
      <c r="U20" s="87"/>
    </row>
    <row r="21" spans="2:15" ht="12.75">
      <c r="B21" s="56" t="s">
        <v>447</v>
      </c>
      <c r="C21" s="56"/>
      <c r="D21" s="83" t="s">
        <v>657</v>
      </c>
      <c r="E21" s="104">
        <f>E19+E20</f>
        <v>0</v>
      </c>
      <c r="F21" s="78" t="s">
        <v>660</v>
      </c>
      <c r="G21" s="243">
        <f>Opptak/J21</f>
        <v>0</v>
      </c>
      <c r="H21" s="242" t="s">
        <v>662</v>
      </c>
      <c r="J21" s="80">
        <v>5</v>
      </c>
      <c r="K21" s="87" t="s">
        <v>661</v>
      </c>
      <c r="N21" s="149"/>
      <c r="O21" s="149"/>
    </row>
    <row r="22" spans="2:15" ht="12.75">
      <c r="B22" s="78"/>
      <c r="C22" s="78"/>
      <c r="D22" s="78"/>
      <c r="G22" s="108"/>
      <c r="H22" s="108"/>
      <c r="I22" s="108"/>
      <c r="J22" s="108"/>
      <c r="N22" s="149"/>
      <c r="O22" s="149"/>
    </row>
    <row r="23" spans="2:15" ht="12.75">
      <c r="B23" s="56" t="s">
        <v>449</v>
      </c>
      <c r="C23" s="56"/>
      <c r="D23" s="83" t="s">
        <v>657</v>
      </c>
      <c r="E23" s="80">
        <v>0</v>
      </c>
      <c r="F23" s="56" t="s">
        <v>450</v>
      </c>
      <c r="G23" s="108"/>
      <c r="H23" s="108"/>
      <c r="I23" s="108"/>
      <c r="J23" s="108"/>
      <c r="N23" s="149"/>
      <c r="O23" s="149"/>
    </row>
    <row r="24" spans="2:21" ht="12.75">
      <c r="B24" s="56"/>
      <c r="C24" s="56"/>
      <c r="D24" s="83"/>
      <c r="E24" s="80"/>
      <c r="F24" s="56"/>
      <c r="N24" s="149"/>
      <c r="O24" s="149"/>
      <c r="T24" s="87"/>
      <c r="U24" s="87"/>
    </row>
    <row r="25" spans="2:15" ht="12.75">
      <c r="B25" s="56" t="s">
        <v>653</v>
      </c>
      <c r="C25" s="56"/>
      <c r="D25" s="83" t="s">
        <v>657</v>
      </c>
      <c r="E25" s="80">
        <v>0</v>
      </c>
      <c r="F25" s="56" t="s">
        <v>774</v>
      </c>
      <c r="G25" s="241"/>
      <c r="H25" s="241"/>
      <c r="I25" s="79"/>
      <c r="J25" s="87"/>
      <c r="N25" s="149"/>
      <c r="O25" s="149"/>
    </row>
    <row r="26" spans="2:15" ht="12.75">
      <c r="B26" s="78"/>
      <c r="C26" s="78"/>
      <c r="D26" s="78"/>
      <c r="E26" s="104"/>
      <c r="F26" s="78"/>
      <c r="G26" s="107"/>
      <c r="H26" s="107"/>
      <c r="I26" s="107"/>
      <c r="J26" s="107"/>
      <c r="N26" s="149"/>
      <c r="O26" s="149"/>
    </row>
    <row r="27" spans="2:15" ht="12.75">
      <c r="B27" s="83" t="s">
        <v>451</v>
      </c>
      <c r="C27" s="83"/>
      <c r="D27" s="83" t="s">
        <v>657</v>
      </c>
      <c r="E27" s="103">
        <v>0</v>
      </c>
      <c r="F27" s="86" t="s">
        <v>448</v>
      </c>
      <c r="G27" s="107"/>
      <c r="H27" s="107"/>
      <c r="I27" s="107"/>
      <c r="J27" s="107"/>
      <c r="N27" s="149"/>
      <c r="O27" s="149"/>
    </row>
    <row r="28" spans="2:15" ht="12.75">
      <c r="B28" s="83" t="s">
        <v>452</v>
      </c>
      <c r="C28" s="83"/>
      <c r="D28" s="83" t="s">
        <v>657</v>
      </c>
      <c r="E28" s="103">
        <v>0</v>
      </c>
      <c r="F28" s="86" t="s">
        <v>448</v>
      </c>
      <c r="G28" s="107"/>
      <c r="H28" s="107"/>
      <c r="I28" s="107"/>
      <c r="J28" s="107"/>
      <c r="N28" s="149"/>
      <c r="O28" s="149"/>
    </row>
    <row r="29" spans="2:15" ht="12.75">
      <c r="B29" s="83" t="s">
        <v>453</v>
      </c>
      <c r="C29" s="83"/>
      <c r="D29" s="83" t="s">
        <v>657</v>
      </c>
      <c r="E29" s="103">
        <v>0</v>
      </c>
      <c r="F29" s="86" t="s">
        <v>448</v>
      </c>
      <c r="G29" s="107"/>
      <c r="H29" s="107"/>
      <c r="I29" s="107"/>
      <c r="J29" s="107"/>
      <c r="N29" s="149"/>
      <c r="O29" s="149"/>
    </row>
    <row r="30" spans="2:15" ht="12.75">
      <c r="B30" s="56"/>
      <c r="C30" s="56"/>
      <c r="D30" s="56"/>
      <c r="E30" s="105"/>
      <c r="F30" s="78"/>
      <c r="G30" s="108"/>
      <c r="H30" s="108"/>
      <c r="I30" s="108"/>
      <c r="J30" s="108"/>
      <c r="K30" s="88"/>
      <c r="N30" s="149"/>
      <c r="O30" s="149"/>
    </row>
    <row r="31" spans="2:15" ht="12.75">
      <c r="B31" s="78" t="s">
        <v>454</v>
      </c>
      <c r="C31" s="78"/>
      <c r="D31" s="83" t="s">
        <v>657</v>
      </c>
      <c r="E31" s="212">
        <v>39569</v>
      </c>
      <c r="F31" s="78"/>
      <c r="G31" s="108"/>
      <c r="H31" s="108"/>
      <c r="I31" s="108"/>
      <c r="J31" s="108"/>
      <c r="K31" s="88"/>
      <c r="N31" s="149"/>
      <c r="O31" s="149"/>
    </row>
    <row r="32" spans="2:15" ht="12.75">
      <c r="B32" s="78" t="s">
        <v>455</v>
      </c>
      <c r="C32" s="78"/>
      <c r="D32" s="83" t="s">
        <v>657</v>
      </c>
      <c r="E32" s="372">
        <f>IF(E31,E31+(G21*7),"")</f>
        <v>39569</v>
      </c>
      <c r="F32" s="78"/>
      <c r="G32" s="108"/>
      <c r="H32" s="108"/>
      <c r="I32" s="108"/>
      <c r="J32" s="108"/>
      <c r="K32" s="88"/>
      <c r="N32" s="149"/>
      <c r="O32" s="149"/>
    </row>
    <row r="33" spans="2:15" ht="12.75">
      <c r="B33" s="78" t="s">
        <v>456</v>
      </c>
      <c r="C33" s="78"/>
      <c r="D33" s="83" t="s">
        <v>657</v>
      </c>
      <c r="E33" s="212">
        <v>39661</v>
      </c>
      <c r="F33" s="237"/>
      <c r="G33" s="109"/>
      <c r="H33" s="109"/>
      <c r="I33" s="109"/>
      <c r="J33" s="109"/>
      <c r="K33" s="77"/>
      <c r="N33" s="149"/>
      <c r="O33" s="149"/>
    </row>
    <row r="34" spans="2:15" ht="12.75">
      <c r="B34" s="78" t="s">
        <v>457</v>
      </c>
      <c r="C34" s="78"/>
      <c r="D34" s="83" t="s">
        <v>657</v>
      </c>
      <c r="E34" s="100">
        <f>IF(E33,E33+(E27*7),"")</f>
        <v>39661</v>
      </c>
      <c r="F34" s="238"/>
      <c r="G34" s="109"/>
      <c r="H34" s="109"/>
      <c r="I34" s="109"/>
      <c r="J34" s="109"/>
      <c r="K34" s="77"/>
      <c r="N34" s="149"/>
      <c r="O34" s="149"/>
    </row>
    <row r="35" spans="2:15" ht="12.75">
      <c r="B35" s="78" t="s">
        <v>458</v>
      </c>
      <c r="C35" s="78"/>
      <c r="D35" s="83" t="s">
        <v>657</v>
      </c>
      <c r="E35" s="212">
        <v>39753</v>
      </c>
      <c r="F35" s="238"/>
      <c r="G35" s="109"/>
      <c r="H35" s="109"/>
      <c r="I35" s="109"/>
      <c r="J35" s="109"/>
      <c r="K35" s="77"/>
      <c r="N35" s="149"/>
      <c r="O35" s="149"/>
    </row>
    <row r="36" spans="2:15" ht="12.75">
      <c r="B36" s="78" t="s">
        <v>459</v>
      </c>
      <c r="C36" s="78"/>
      <c r="D36" s="83" t="s">
        <v>657</v>
      </c>
      <c r="E36" s="100">
        <f>IF(E35,E35+(E28*7)+(E29*7)-3,"")</f>
        <v>39750</v>
      </c>
      <c r="F36" s="238"/>
      <c r="G36" s="109"/>
      <c r="H36" s="109"/>
      <c r="I36" s="109"/>
      <c r="J36" s="109"/>
      <c r="K36" s="77"/>
      <c r="N36" s="149"/>
      <c r="O36" s="149"/>
    </row>
    <row r="37" spans="2:15" ht="12.75">
      <c r="B37" s="78" t="s">
        <v>460</v>
      </c>
      <c r="C37" s="78"/>
      <c r="D37" s="83" t="s">
        <v>657</v>
      </c>
      <c r="E37" s="212">
        <v>39845</v>
      </c>
      <c r="F37" s="78"/>
      <c r="G37" s="109"/>
      <c r="H37" s="109"/>
      <c r="I37" s="109"/>
      <c r="J37" s="109"/>
      <c r="K37" s="77"/>
      <c r="N37" s="149"/>
      <c r="O37" s="149"/>
    </row>
    <row r="38" spans="2:15" ht="12.75">
      <c r="B38" s="78" t="s">
        <v>417</v>
      </c>
      <c r="C38" s="78"/>
      <c r="D38" s="83" t="s">
        <v>657</v>
      </c>
      <c r="E38" s="212">
        <v>39904</v>
      </c>
      <c r="F38" s="238"/>
      <c r="G38" s="109"/>
      <c r="H38" s="109"/>
      <c r="I38" s="109"/>
      <c r="J38" s="109"/>
      <c r="K38" s="77"/>
      <c r="N38" s="149"/>
      <c r="O38" s="149"/>
    </row>
    <row r="39" spans="2:15" ht="12.75">
      <c r="B39" s="78"/>
      <c r="C39" s="78"/>
      <c r="D39" s="78"/>
      <c r="E39" s="104"/>
      <c r="F39" s="78"/>
      <c r="G39" s="108"/>
      <c r="H39" s="108"/>
      <c r="I39" s="108"/>
      <c r="J39" s="108"/>
      <c r="K39" s="77"/>
      <c r="N39" s="149"/>
      <c r="O39" s="149"/>
    </row>
    <row r="40" spans="2:15" ht="12.75">
      <c r="B40" s="78"/>
      <c r="C40" s="78"/>
      <c r="D40" s="78"/>
      <c r="E40" s="105"/>
      <c r="F40" s="78"/>
      <c r="G40" s="108"/>
      <c r="H40" s="108"/>
      <c r="I40" s="108"/>
      <c r="J40" s="108"/>
      <c r="K40" s="77"/>
      <c r="N40" s="149"/>
      <c r="O40" s="149"/>
    </row>
    <row r="41" spans="2:15" ht="12.75">
      <c r="B41" s="78" t="s">
        <v>736</v>
      </c>
      <c r="C41" s="78"/>
      <c r="D41" s="83" t="s">
        <v>657</v>
      </c>
      <c r="E41" s="80">
        <v>25</v>
      </c>
      <c r="F41" s="78" t="s">
        <v>426</v>
      </c>
      <c r="G41" s="110"/>
      <c r="H41" s="110"/>
      <c r="I41" s="110"/>
      <c r="J41" s="110"/>
      <c r="K41" s="77"/>
      <c r="N41" s="149"/>
      <c r="O41" s="149"/>
    </row>
    <row r="42" spans="2:21" ht="12.75">
      <c r="B42" s="78" t="s">
        <v>764</v>
      </c>
      <c r="C42" s="78"/>
      <c r="D42" s="83" t="s">
        <v>657</v>
      </c>
      <c r="E42" s="80">
        <v>8</v>
      </c>
      <c r="F42" s="78" t="s">
        <v>426</v>
      </c>
      <c r="G42" s="110"/>
      <c r="H42" s="110"/>
      <c r="I42" s="110"/>
      <c r="J42" s="110"/>
      <c r="K42" s="77"/>
      <c r="N42" s="149"/>
      <c r="O42" s="149"/>
      <c r="T42" s="87"/>
      <c r="U42" s="87"/>
    </row>
    <row r="43" spans="2:15" ht="12.75">
      <c r="B43" s="77" t="s">
        <v>314</v>
      </c>
      <c r="C43" s="78"/>
      <c r="D43" s="83" t="s">
        <v>657</v>
      </c>
      <c r="E43" s="80">
        <v>26</v>
      </c>
      <c r="F43" s="78" t="s">
        <v>426</v>
      </c>
      <c r="G43" s="110"/>
      <c r="H43" s="110"/>
      <c r="I43" s="110"/>
      <c r="J43" s="110"/>
      <c r="N43" s="149"/>
      <c r="O43" s="149"/>
    </row>
    <row r="44" spans="2:21" ht="12.75">
      <c r="B44" s="77"/>
      <c r="C44" s="78"/>
      <c r="D44" s="78"/>
      <c r="E44" s="104"/>
      <c r="F44" s="239"/>
      <c r="I44" s="87"/>
      <c r="J44" s="87"/>
      <c r="K44" s="111"/>
      <c r="L44" s="109"/>
      <c r="N44" s="149"/>
      <c r="O44" s="149"/>
      <c r="U44" s="87"/>
    </row>
    <row r="45" spans="2:21" ht="12.75">
      <c r="B45" s="111" t="s">
        <v>582</v>
      </c>
      <c r="C45" s="111" t="s">
        <v>665</v>
      </c>
      <c r="D45" s="106"/>
      <c r="E45" s="87"/>
      <c r="F45" s="111"/>
      <c r="H45" s="76"/>
      <c r="I45" s="76"/>
      <c r="J45" s="244"/>
      <c r="K45" s="111"/>
      <c r="N45" s="149"/>
      <c r="O45" s="149"/>
      <c r="U45" s="87"/>
    </row>
    <row r="46" spans="2:21" ht="12.75">
      <c r="B46" s="245" t="s">
        <v>397</v>
      </c>
      <c r="C46" s="244">
        <v>0.91</v>
      </c>
      <c r="D46" s="106"/>
      <c r="E46" s="87"/>
      <c r="F46" s="111"/>
      <c r="H46" s="76"/>
      <c r="I46" s="76"/>
      <c r="J46" s="244"/>
      <c r="K46" s="111"/>
      <c r="N46" s="149"/>
      <c r="O46" s="149"/>
      <c r="U46" s="87"/>
    </row>
    <row r="47" spans="2:21" ht="12.75">
      <c r="B47" s="245" t="s">
        <v>398</v>
      </c>
      <c r="C47" s="244">
        <v>1.1</v>
      </c>
      <c r="D47" s="106"/>
      <c r="E47" s="87"/>
      <c r="F47" s="111"/>
      <c r="H47" s="76"/>
      <c r="I47" s="76"/>
      <c r="J47" s="244"/>
      <c r="K47" s="111"/>
      <c r="N47" s="149"/>
      <c r="O47" s="149"/>
      <c r="U47" s="87"/>
    </row>
    <row r="48" spans="2:21" ht="12.75">
      <c r="B48" s="245" t="s">
        <v>399</v>
      </c>
      <c r="C48" s="244">
        <v>5.5</v>
      </c>
      <c r="D48" s="106"/>
      <c r="E48" s="87"/>
      <c r="F48" s="111"/>
      <c r="H48" s="76"/>
      <c r="I48" s="76"/>
      <c r="J48" s="244"/>
      <c r="K48" s="111"/>
      <c r="N48" s="149"/>
      <c r="O48" s="149"/>
      <c r="S48" s="87"/>
      <c r="T48" s="87"/>
      <c r="U48" s="87"/>
    </row>
    <row r="49" spans="2:21" ht="12.75">
      <c r="B49" s="245" t="s">
        <v>400</v>
      </c>
      <c r="C49" s="244">
        <v>11.98</v>
      </c>
      <c r="D49" s="106"/>
      <c r="E49" s="87"/>
      <c r="F49" s="111"/>
      <c r="H49" s="76"/>
      <c r="I49" s="76"/>
      <c r="J49" s="244"/>
      <c r="K49" s="111"/>
      <c r="N49" s="149"/>
      <c r="O49" s="149"/>
      <c r="T49" s="87"/>
      <c r="U49" s="87"/>
    </row>
    <row r="50" spans="2:21" ht="12.75">
      <c r="B50" s="245" t="s">
        <v>622</v>
      </c>
      <c r="C50" s="244">
        <v>8.21</v>
      </c>
      <c r="D50" s="106"/>
      <c r="E50" s="87"/>
      <c r="F50" s="111"/>
      <c r="H50" s="76"/>
      <c r="I50" s="76"/>
      <c r="J50" s="244"/>
      <c r="K50" s="111"/>
      <c r="N50" s="149"/>
      <c r="O50" s="149"/>
      <c r="T50" s="87"/>
      <c r="U50" s="87"/>
    </row>
    <row r="51" spans="2:21" ht="12.75">
      <c r="B51" s="245"/>
      <c r="C51" s="244"/>
      <c r="D51" s="106"/>
      <c r="E51" s="87"/>
      <c r="F51" s="111"/>
      <c r="H51" s="76"/>
      <c r="I51" s="76"/>
      <c r="J51" s="244"/>
      <c r="K51" s="111"/>
      <c r="N51" s="149"/>
      <c r="O51" s="149"/>
      <c r="T51" s="87"/>
      <c r="U51" s="87"/>
    </row>
    <row r="52" spans="2:21" ht="12.75">
      <c r="B52" s="245"/>
      <c r="C52" s="244"/>
      <c r="D52" s="106"/>
      <c r="E52" s="87"/>
      <c r="F52" s="111"/>
      <c r="H52" s="76"/>
      <c r="I52" s="76"/>
      <c r="J52" s="244"/>
      <c r="K52" s="111"/>
      <c r="N52" s="149"/>
      <c r="O52" s="149"/>
      <c r="T52" s="87"/>
      <c r="U52" s="87"/>
    </row>
    <row r="53" spans="2:21" ht="12.75">
      <c r="B53" s="245"/>
      <c r="C53" s="244"/>
      <c r="D53" s="106"/>
      <c r="E53" s="87"/>
      <c r="F53" s="111"/>
      <c r="H53" s="76"/>
      <c r="I53" s="76"/>
      <c r="J53" s="244"/>
      <c r="K53" s="111"/>
      <c r="N53" s="149"/>
      <c r="O53" s="149"/>
      <c r="T53" s="87"/>
      <c r="U53" s="87"/>
    </row>
    <row r="54" spans="1:15" ht="52.5" customHeight="1">
      <c r="A54" s="149"/>
      <c r="B54" s="149"/>
      <c r="C54" s="149"/>
      <c r="D54" s="149"/>
      <c r="E54" s="149"/>
      <c r="F54" s="149"/>
      <c r="G54" s="149"/>
      <c r="H54" s="149"/>
      <c r="I54" s="149"/>
      <c r="J54" s="149"/>
      <c r="K54" s="149"/>
      <c r="L54" s="149"/>
      <c r="M54" s="149"/>
      <c r="N54" s="149"/>
      <c r="O54" s="149"/>
    </row>
    <row r="55" spans="1:15" ht="12.75">
      <c r="A55" s="149"/>
      <c r="B55" s="149"/>
      <c r="C55" s="149"/>
      <c r="D55" s="149"/>
      <c r="E55" s="149"/>
      <c r="F55" s="149"/>
      <c r="G55" s="149"/>
      <c r="H55" s="149"/>
      <c r="I55" s="149"/>
      <c r="J55" s="149"/>
      <c r="K55" s="149"/>
      <c r="L55" s="149"/>
      <c r="M55" s="149"/>
      <c r="N55" s="149"/>
      <c r="O55" s="149"/>
    </row>
    <row r="56" spans="5:15" ht="12.75">
      <c r="E56" s="87"/>
      <c r="G56" s="87"/>
      <c r="H56" s="87"/>
      <c r="I56" s="87"/>
      <c r="J56" s="87"/>
      <c r="N56" s="169"/>
      <c r="O56" s="169"/>
    </row>
    <row r="57" spans="5:15" ht="12.75">
      <c r="E57" s="87"/>
      <c r="G57" s="169"/>
      <c r="H57" s="87"/>
      <c r="I57" s="87"/>
      <c r="J57" s="87"/>
      <c r="N57" s="169"/>
      <c r="O57" s="169"/>
    </row>
    <row r="58" spans="1:15" ht="12.75">
      <c r="A58" s="169"/>
      <c r="B58" s="169"/>
      <c r="C58" s="169"/>
      <c r="D58" s="169"/>
      <c r="E58" s="169"/>
      <c r="F58" s="169"/>
      <c r="G58" s="169"/>
      <c r="H58" s="169"/>
      <c r="I58" s="169"/>
      <c r="J58" s="169"/>
      <c r="K58" s="169"/>
      <c r="L58" s="169"/>
      <c r="M58" s="169"/>
      <c r="N58" s="169"/>
      <c r="O58" s="169"/>
    </row>
    <row r="59" spans="1:15" ht="12.75">
      <c r="A59" s="169"/>
      <c r="B59" s="169"/>
      <c r="C59" s="169"/>
      <c r="D59" s="169"/>
      <c r="E59" s="169"/>
      <c r="F59" s="169"/>
      <c r="G59" s="169"/>
      <c r="H59" s="169"/>
      <c r="I59" s="169"/>
      <c r="J59" s="169"/>
      <c r="K59" s="169"/>
      <c r="L59" s="169"/>
      <c r="M59" s="169"/>
      <c r="N59" s="169"/>
      <c r="O59" s="169"/>
    </row>
    <row r="60" spans="1:15" ht="12.75">
      <c r="A60" s="169"/>
      <c r="B60" s="169"/>
      <c r="C60" s="169"/>
      <c r="D60" s="169"/>
      <c r="E60" s="169"/>
      <c r="F60" s="169"/>
      <c r="G60" s="169"/>
      <c r="H60" s="169"/>
      <c r="I60" s="169"/>
      <c r="J60" s="169"/>
      <c r="K60" s="169"/>
      <c r="L60" s="169"/>
      <c r="M60" s="169"/>
      <c r="N60" s="169"/>
      <c r="O60" s="169"/>
    </row>
    <row r="61" spans="1:15" ht="12.75">
      <c r="A61" s="169"/>
      <c r="B61" s="169"/>
      <c r="C61" s="169"/>
      <c r="D61" s="169"/>
      <c r="E61" s="169"/>
      <c r="F61" s="169"/>
      <c r="G61" s="169"/>
      <c r="H61" s="169"/>
      <c r="I61" s="169"/>
      <c r="J61" s="169"/>
      <c r="K61" s="169"/>
      <c r="L61" s="169"/>
      <c r="M61" s="169"/>
      <c r="N61" s="169"/>
      <c r="O61" s="169"/>
    </row>
    <row r="62" spans="1:15" ht="12.75">
      <c r="A62" s="169"/>
      <c r="B62" s="169"/>
      <c r="C62" s="169"/>
      <c r="D62" s="169"/>
      <c r="E62" s="169"/>
      <c r="F62" s="169"/>
      <c r="G62" s="169"/>
      <c r="H62" s="169"/>
      <c r="I62" s="169"/>
      <c r="J62" s="169"/>
      <c r="K62" s="169"/>
      <c r="L62" s="169"/>
      <c r="M62" s="169"/>
      <c r="N62" s="169"/>
      <c r="O62" s="169"/>
    </row>
    <row r="63" spans="1:15" ht="12.75">
      <c r="A63" s="169"/>
      <c r="B63" s="169"/>
      <c r="C63" s="169"/>
      <c r="D63" s="169"/>
      <c r="E63" s="169"/>
      <c r="F63" s="169"/>
      <c r="G63" s="169"/>
      <c r="H63" s="169"/>
      <c r="I63" s="169"/>
      <c r="J63" s="169"/>
      <c r="K63" s="169"/>
      <c r="L63" s="169"/>
      <c r="M63" s="169"/>
      <c r="N63" s="169"/>
      <c r="O63" s="169"/>
    </row>
    <row r="64" spans="1:15" ht="12.75">
      <c r="A64" s="169"/>
      <c r="B64" s="169"/>
      <c r="C64" s="169"/>
      <c r="D64" s="169"/>
      <c r="E64" s="169"/>
      <c r="F64" s="169"/>
      <c r="G64" s="169"/>
      <c r="H64" s="169"/>
      <c r="I64" s="169"/>
      <c r="J64" s="169"/>
      <c r="K64" s="169"/>
      <c r="L64" s="169"/>
      <c r="M64" s="169"/>
      <c r="N64" s="169"/>
      <c r="O64" s="169"/>
    </row>
    <row r="65" spans="1:15" ht="12.75">
      <c r="A65" s="169"/>
      <c r="B65" s="169"/>
      <c r="C65" s="169"/>
      <c r="D65" s="169"/>
      <c r="E65" s="169"/>
      <c r="F65" s="169"/>
      <c r="G65" s="169"/>
      <c r="H65" s="169"/>
      <c r="I65" s="169"/>
      <c r="J65" s="169"/>
      <c r="K65" s="169"/>
      <c r="L65" s="169"/>
      <c r="M65" s="169"/>
      <c r="N65" s="169"/>
      <c r="O65" s="169"/>
    </row>
    <row r="66" spans="1:15" ht="12.75">
      <c r="A66" s="169"/>
      <c r="B66" s="169"/>
      <c r="C66" s="169"/>
      <c r="D66" s="169"/>
      <c r="E66" s="169"/>
      <c r="F66" s="169"/>
      <c r="G66" s="169"/>
      <c r="H66" s="169"/>
      <c r="I66" s="169"/>
      <c r="J66" s="169"/>
      <c r="K66" s="169"/>
      <c r="L66" s="169"/>
      <c r="M66" s="169"/>
      <c r="N66" s="169"/>
      <c r="O66" s="169"/>
    </row>
    <row r="67" spans="1:15" ht="12.75">
      <c r="A67" s="169"/>
      <c r="B67" s="169"/>
      <c r="C67" s="169"/>
      <c r="D67" s="169"/>
      <c r="E67" s="169"/>
      <c r="F67" s="169"/>
      <c r="G67" s="169"/>
      <c r="H67" s="169"/>
      <c r="I67" s="169"/>
      <c r="J67" s="169"/>
      <c r="K67" s="169"/>
      <c r="L67" s="169"/>
      <c r="M67" s="169"/>
      <c r="N67" s="169"/>
      <c r="O67" s="169"/>
    </row>
    <row r="68" spans="1:15" ht="12.75">
      <c r="A68" s="169"/>
      <c r="B68" s="169"/>
      <c r="C68" s="169"/>
      <c r="D68" s="169"/>
      <c r="E68" s="169"/>
      <c r="F68" s="169"/>
      <c r="G68" s="169"/>
      <c r="H68" s="169"/>
      <c r="I68" s="169"/>
      <c r="J68" s="169"/>
      <c r="K68" s="169"/>
      <c r="L68" s="169"/>
      <c r="M68" s="169"/>
      <c r="N68" s="169"/>
      <c r="O68" s="169"/>
    </row>
    <row r="69" spans="1:15" ht="12.75">
      <c r="A69" s="169"/>
      <c r="B69" s="169"/>
      <c r="C69" s="169"/>
      <c r="D69" s="169"/>
      <c r="E69" s="169"/>
      <c r="F69" s="169"/>
      <c r="G69" s="169"/>
      <c r="H69" s="169"/>
      <c r="I69" s="169"/>
      <c r="J69" s="169"/>
      <c r="K69" s="169"/>
      <c r="L69" s="169"/>
      <c r="M69" s="169"/>
      <c r="N69" s="169"/>
      <c r="O69" s="169"/>
    </row>
    <row r="70" spans="1:15" ht="12.75">
      <c r="A70" s="169"/>
      <c r="B70" s="169"/>
      <c r="C70" s="169"/>
      <c r="D70" s="169"/>
      <c r="E70" s="169"/>
      <c r="F70" s="169"/>
      <c r="G70" s="169"/>
      <c r="H70" s="169"/>
      <c r="I70" s="169"/>
      <c r="J70" s="169"/>
      <c r="K70" s="169"/>
      <c r="L70" s="169"/>
      <c r="M70" s="169"/>
      <c r="N70" s="169"/>
      <c r="O70" s="169"/>
    </row>
    <row r="71" spans="1:15" ht="12.75">
      <c r="A71" s="169"/>
      <c r="B71" s="169"/>
      <c r="C71" s="169"/>
      <c r="D71" s="169"/>
      <c r="E71" s="169"/>
      <c r="F71" s="169"/>
      <c r="G71" s="169"/>
      <c r="H71" s="169"/>
      <c r="I71" s="169"/>
      <c r="J71" s="169"/>
      <c r="K71" s="169"/>
      <c r="L71" s="169"/>
      <c r="M71" s="169"/>
      <c r="N71" s="169"/>
      <c r="O71" s="169"/>
    </row>
    <row r="72" spans="1:15" ht="12.75">
      <c r="A72" s="169"/>
      <c r="B72" s="169"/>
      <c r="C72" s="169"/>
      <c r="D72" s="169"/>
      <c r="E72" s="169"/>
      <c r="F72" s="169"/>
      <c r="G72" s="169"/>
      <c r="H72" s="169"/>
      <c r="I72" s="169"/>
      <c r="J72" s="169"/>
      <c r="K72" s="169"/>
      <c r="L72" s="169"/>
      <c r="M72" s="169"/>
      <c r="N72" s="169"/>
      <c r="O72" s="169"/>
    </row>
    <row r="73" spans="1:15" ht="12.75">
      <c r="A73" s="169"/>
      <c r="B73" s="169"/>
      <c r="C73" s="169"/>
      <c r="D73" s="169"/>
      <c r="E73" s="169"/>
      <c r="F73" s="169"/>
      <c r="G73" s="169"/>
      <c r="H73" s="169"/>
      <c r="I73" s="169"/>
      <c r="J73" s="169"/>
      <c r="K73" s="169"/>
      <c r="L73" s="169"/>
      <c r="M73" s="169"/>
      <c r="N73" s="169"/>
      <c r="O73" s="169"/>
    </row>
    <row r="74" spans="1:13" ht="12.75">
      <c r="A74" s="169"/>
      <c r="B74" s="169"/>
      <c r="C74" s="169"/>
      <c r="D74" s="169"/>
      <c r="E74" s="169"/>
      <c r="F74" s="169"/>
      <c r="G74" s="169"/>
      <c r="H74" s="169"/>
      <c r="I74" s="169"/>
      <c r="J74" s="169"/>
      <c r="K74" s="169"/>
      <c r="L74" s="169"/>
      <c r="M74" s="169"/>
    </row>
    <row r="75" spans="1:13" ht="12.75">
      <c r="A75" s="169"/>
      <c r="B75" s="169"/>
      <c r="C75" s="169"/>
      <c r="D75" s="169"/>
      <c r="E75" s="169"/>
      <c r="F75" s="169"/>
      <c r="G75" s="169"/>
      <c r="H75" s="169"/>
      <c r="I75" s="169"/>
      <c r="J75" s="169"/>
      <c r="K75" s="169"/>
      <c r="L75" s="169"/>
      <c r="M75" s="169"/>
    </row>
    <row r="76" spans="1:13" ht="12.75">
      <c r="A76" s="169"/>
      <c r="B76" s="169"/>
      <c r="C76" s="169"/>
      <c r="D76" s="169"/>
      <c r="E76" s="169"/>
      <c r="F76" s="169"/>
      <c r="G76" s="169"/>
      <c r="H76" s="169"/>
      <c r="I76" s="169"/>
      <c r="J76" s="169"/>
      <c r="K76" s="169"/>
      <c r="L76" s="169"/>
      <c r="M76" s="169"/>
    </row>
    <row r="77" spans="1:13" ht="12.75">
      <c r="A77" s="169"/>
      <c r="B77" s="169"/>
      <c r="C77" s="169"/>
      <c r="D77" s="169"/>
      <c r="E77" s="169"/>
      <c r="F77" s="169"/>
      <c r="H77" s="169"/>
      <c r="I77" s="169"/>
      <c r="J77" s="169"/>
      <c r="K77" s="169"/>
      <c r="L77" s="169"/>
      <c r="M77" s="169"/>
    </row>
  </sheetData>
  <sheetProtection sheet="1"/>
  <mergeCells count="1">
    <mergeCell ref="C4:F4"/>
  </mergeCells>
  <printOptions/>
  <pageMargins left="0.984251968503937" right="0.35433070866141736" top="0.78" bottom="0.71" header="0.5118110236220472" footer="0.5118110236220472"/>
  <pageSetup blackAndWhite="1"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Ark4">
    <pageSetUpPr fitToPage="1"/>
  </sheetPr>
  <dimension ref="A1:K45"/>
  <sheetViews>
    <sheetView showGridLines="0" showRowColHeaders="0" showZeros="0" showOutlineSymbols="0" zoomScale="90" zoomScaleNormal="90" workbookViewId="0" topLeftCell="A1">
      <selection activeCell="J26" sqref="J26"/>
    </sheetView>
  </sheetViews>
  <sheetFormatPr defaultColWidth="9.140625" defaultRowHeight="12.75"/>
  <cols>
    <col min="1" max="1" width="8.140625" style="170" customWidth="1"/>
    <col min="2" max="2" width="3.140625" style="24" customWidth="1"/>
    <col min="3" max="3" width="5.8515625" style="23" customWidth="1"/>
    <col min="4" max="4" width="28.28125" style="23" customWidth="1"/>
    <col min="5" max="5" width="11.7109375" style="7" customWidth="1"/>
    <col min="6" max="6" width="12.7109375" style="7" customWidth="1"/>
    <col min="7" max="7" width="4.8515625" style="23" customWidth="1"/>
    <col min="8" max="8" width="9.7109375" style="86" customWidth="1"/>
    <col min="9" max="9" width="3.421875" style="86" customWidth="1"/>
    <col min="10" max="10" width="92.00390625" style="23" customWidth="1"/>
    <col min="11" max="11" width="9.140625" style="23" customWidth="1"/>
    <col min="12" max="16384" width="9.140625" style="170" customWidth="1"/>
  </cols>
  <sheetData>
    <row r="1" spans="10:11" ht="16.5">
      <c r="J1" s="149"/>
      <c r="K1" s="149"/>
    </row>
    <row r="2" spans="2:11" ht="16.5">
      <c r="B2" s="63" t="s">
        <v>461</v>
      </c>
      <c r="C2" s="180"/>
      <c r="D2" s="180"/>
      <c r="E2" s="181"/>
      <c r="F2" s="181"/>
      <c r="G2" s="182"/>
      <c r="J2" s="149"/>
      <c r="K2" s="149"/>
    </row>
    <row r="3" spans="2:11" ht="16.5">
      <c r="B3" s="179"/>
      <c r="C3" s="180"/>
      <c r="D3" s="180"/>
      <c r="E3" s="181"/>
      <c r="F3" s="181"/>
      <c r="G3" s="182"/>
      <c r="J3" s="149"/>
      <c r="K3" s="149"/>
    </row>
    <row r="4" spans="2:11" ht="16.5">
      <c r="B4" s="182" t="s">
        <v>624</v>
      </c>
      <c r="C4" s="182"/>
      <c r="D4" s="182">
        <f>FORUTSETNINGER!C4</f>
        <v>0</v>
      </c>
      <c r="E4" s="181"/>
      <c r="F4" s="181"/>
      <c r="G4" s="182"/>
      <c r="J4" s="149"/>
      <c r="K4" s="149"/>
    </row>
    <row r="5" spans="2:11" ht="16.5">
      <c r="B5" s="182"/>
      <c r="C5" s="182"/>
      <c r="D5" s="182"/>
      <c r="E5" s="181"/>
      <c r="F5" s="181"/>
      <c r="G5" s="182"/>
      <c r="J5" s="149"/>
      <c r="K5" s="149"/>
    </row>
    <row r="6" spans="2:11" ht="16.5">
      <c r="B6" s="182" t="s">
        <v>625</v>
      </c>
      <c r="C6" s="182"/>
      <c r="D6" s="183">
        <f>FORUTSETNINGER!C8</f>
        <v>0</v>
      </c>
      <c r="E6" s="181"/>
      <c r="F6" s="181"/>
      <c r="G6" s="182"/>
      <c r="J6" s="149"/>
      <c r="K6" s="149"/>
    </row>
    <row r="7" spans="2:11" ht="16.5">
      <c r="B7" s="179"/>
      <c r="C7" s="180"/>
      <c r="D7" s="180"/>
      <c r="E7" s="181"/>
      <c r="F7" s="181"/>
      <c r="G7" s="182"/>
      <c r="J7" s="149"/>
      <c r="K7" s="149"/>
    </row>
    <row r="8" spans="2:11" ht="16.5">
      <c r="B8" s="184"/>
      <c r="C8" s="182"/>
      <c r="D8" s="182"/>
      <c r="E8" s="181"/>
      <c r="F8" s="181"/>
      <c r="G8" s="182"/>
      <c r="H8" s="33" t="s">
        <v>688</v>
      </c>
      <c r="J8" s="149"/>
      <c r="K8" s="149"/>
    </row>
    <row r="9" spans="2:11" ht="16.5" customHeight="1">
      <c r="B9" s="185" t="s">
        <v>462</v>
      </c>
      <c r="C9" s="182" t="s">
        <v>463</v>
      </c>
      <c r="D9" s="182"/>
      <c r="E9" s="186">
        <f>ROUND(Sum_10,0)</f>
        <v>0</v>
      </c>
      <c r="F9" s="181"/>
      <c r="G9" s="182"/>
      <c r="H9" s="194">
        <f>Mva_10</f>
        <v>0</v>
      </c>
      <c r="J9" s="149"/>
      <c r="K9" s="149"/>
    </row>
    <row r="10" spans="2:11" ht="16.5">
      <c r="B10" s="185" t="s">
        <v>464</v>
      </c>
      <c r="C10" s="182" t="s">
        <v>465</v>
      </c>
      <c r="D10" s="182"/>
      <c r="E10" s="186">
        <f>ROUND(Sum_11,0)</f>
        <v>0</v>
      </c>
      <c r="F10" s="181"/>
      <c r="G10" s="182"/>
      <c r="H10" s="194">
        <f>Mva_11</f>
        <v>0</v>
      </c>
      <c r="J10" s="149"/>
      <c r="K10" s="149"/>
    </row>
    <row r="11" spans="2:11" ht="16.5">
      <c r="B11" s="185"/>
      <c r="C11" s="187" t="s">
        <v>466</v>
      </c>
      <c r="D11" s="187"/>
      <c r="E11" s="188" t="s">
        <v>467</v>
      </c>
      <c r="F11" s="186">
        <f>SUM(E9:E10)</f>
        <v>0</v>
      </c>
      <c r="G11" s="182"/>
      <c r="H11" s="195"/>
      <c r="I11" s="195"/>
      <c r="J11" s="149"/>
      <c r="K11" s="149"/>
    </row>
    <row r="12" spans="2:11" ht="16.5">
      <c r="B12" s="185" t="s">
        <v>468</v>
      </c>
      <c r="C12" s="182" t="s">
        <v>469</v>
      </c>
      <c r="D12" s="182"/>
      <c r="E12" s="186">
        <f>ROUND(Sum_21,0)</f>
        <v>0</v>
      </c>
      <c r="F12" s="181"/>
      <c r="G12" s="182"/>
      <c r="H12" s="194">
        <f>Mva_21</f>
        <v>0</v>
      </c>
      <c r="J12" s="149"/>
      <c r="K12" s="149"/>
    </row>
    <row r="13" spans="2:11" ht="16.5">
      <c r="B13" s="185" t="s">
        <v>470</v>
      </c>
      <c r="C13" s="182" t="s">
        <v>471</v>
      </c>
      <c r="D13" s="182"/>
      <c r="E13" s="186">
        <f>ROUND(Sum_31,0)</f>
        <v>0</v>
      </c>
      <c r="F13" s="181"/>
      <c r="G13" s="182"/>
      <c r="H13" s="194">
        <f>Mva_31</f>
        <v>0</v>
      </c>
      <c r="J13" s="149"/>
      <c r="K13" s="149"/>
    </row>
    <row r="14" spans="2:11" ht="16.5">
      <c r="B14" s="185" t="s">
        <v>472</v>
      </c>
      <c r="C14" s="182" t="s">
        <v>473</v>
      </c>
      <c r="D14" s="182"/>
      <c r="E14" s="186">
        <f>ROUND(Sum_32,0)</f>
        <v>0</v>
      </c>
      <c r="F14" s="181"/>
      <c r="G14" s="182"/>
      <c r="H14" s="194">
        <f>Mva_32</f>
        <v>0</v>
      </c>
      <c r="J14" s="149"/>
      <c r="K14" s="149"/>
    </row>
    <row r="15" spans="2:11" ht="16.5">
      <c r="B15" s="185" t="s">
        <v>474</v>
      </c>
      <c r="C15" s="182" t="s">
        <v>475</v>
      </c>
      <c r="D15" s="182"/>
      <c r="E15" s="186">
        <f>ROUND(Sum_33,0)</f>
        <v>0</v>
      </c>
      <c r="F15" s="181"/>
      <c r="G15" s="182"/>
      <c r="H15" s="194">
        <f>Mva_33</f>
        <v>0</v>
      </c>
      <c r="J15" s="149"/>
      <c r="K15" s="149"/>
    </row>
    <row r="16" spans="2:11" ht="16.5">
      <c r="B16" s="185" t="s">
        <v>476</v>
      </c>
      <c r="C16" s="182" t="s">
        <v>477</v>
      </c>
      <c r="D16" s="182"/>
      <c r="E16" s="186">
        <f>ROUND(Sum_34,0)</f>
        <v>0</v>
      </c>
      <c r="F16" s="181"/>
      <c r="G16" s="182"/>
      <c r="H16" s="194">
        <f>Mva_34</f>
        <v>0</v>
      </c>
      <c r="J16" s="149"/>
      <c r="K16" s="149"/>
    </row>
    <row r="17" spans="2:11" ht="16.5">
      <c r="B17" s="185" t="s">
        <v>478</v>
      </c>
      <c r="C17" s="182" t="s">
        <v>479</v>
      </c>
      <c r="D17" s="182"/>
      <c r="E17" s="186">
        <f>ROUND(Sum_35,0)</f>
        <v>0</v>
      </c>
      <c r="F17" s="181"/>
      <c r="G17" s="182"/>
      <c r="H17" s="194">
        <f>Mva_35</f>
        <v>0</v>
      </c>
      <c r="J17" s="149"/>
      <c r="K17" s="149"/>
    </row>
    <row r="18" spans="2:11" ht="16.5">
      <c r="B18" s="185" t="s">
        <v>480</v>
      </c>
      <c r="C18" s="182" t="s">
        <v>481</v>
      </c>
      <c r="D18" s="182"/>
      <c r="E18" s="186">
        <f>ROUND(Sum_36,0)</f>
        <v>0</v>
      </c>
      <c r="F18" s="181"/>
      <c r="G18" s="182"/>
      <c r="H18" s="194">
        <f>Mva_36</f>
        <v>0</v>
      </c>
      <c r="J18" s="149"/>
      <c r="K18" s="149"/>
    </row>
    <row r="19" spans="2:11" ht="16.5">
      <c r="B19" s="185" t="s">
        <v>482</v>
      </c>
      <c r="C19" s="182" t="s">
        <v>483</v>
      </c>
      <c r="D19" s="182"/>
      <c r="E19" s="186">
        <f>ROUND(Sum_37,0)</f>
        <v>0</v>
      </c>
      <c r="F19" s="181"/>
      <c r="G19" s="182"/>
      <c r="H19" s="194">
        <f>Mva_37</f>
        <v>0</v>
      </c>
      <c r="J19" s="149"/>
      <c r="K19" s="149"/>
    </row>
    <row r="20" spans="2:11" ht="16.5">
      <c r="B20" s="185" t="s">
        <v>484</v>
      </c>
      <c r="C20" s="182" t="s">
        <v>485</v>
      </c>
      <c r="D20" s="182"/>
      <c r="E20" s="186">
        <f>ROUND(Sum_38,0)</f>
        <v>0</v>
      </c>
      <c r="F20" s="181"/>
      <c r="G20" s="182"/>
      <c r="H20" s="194">
        <f>Mva_38</f>
        <v>0</v>
      </c>
      <c r="J20" s="149"/>
      <c r="K20" s="149"/>
    </row>
    <row r="21" spans="2:11" ht="16.5">
      <c r="B21" s="185" t="s">
        <v>486</v>
      </c>
      <c r="C21" s="182" t="s">
        <v>487</v>
      </c>
      <c r="D21" s="182"/>
      <c r="E21" s="186">
        <f>ROUND(Sum_39,0)</f>
        <v>0</v>
      </c>
      <c r="F21" s="181"/>
      <c r="G21" s="182"/>
      <c r="H21" s="194">
        <f>Mva_39</f>
        <v>0</v>
      </c>
      <c r="J21" s="149"/>
      <c r="K21" s="149"/>
    </row>
    <row r="22" spans="2:11" ht="16.5">
      <c r="B22" s="185" t="s">
        <v>488</v>
      </c>
      <c r="C22" s="182" t="s">
        <v>489</v>
      </c>
      <c r="D22" s="182"/>
      <c r="E22" s="186">
        <f>ROUND(Sum_40,0)</f>
        <v>0</v>
      </c>
      <c r="F22" s="181"/>
      <c r="G22" s="182"/>
      <c r="H22" s="194">
        <f>Mva_40</f>
        <v>0</v>
      </c>
      <c r="J22" s="149"/>
      <c r="K22" s="149"/>
    </row>
    <row r="23" spans="2:11" ht="16.5">
      <c r="B23" s="185" t="s">
        <v>490</v>
      </c>
      <c r="C23" s="182" t="s">
        <v>491</v>
      </c>
      <c r="D23" s="182"/>
      <c r="E23" s="186">
        <f>ROUND(Sum_41,0)</f>
        <v>0</v>
      </c>
      <c r="F23" s="181"/>
      <c r="G23" s="182"/>
      <c r="H23" s="194">
        <f>Mva_41</f>
        <v>0</v>
      </c>
      <c r="J23" s="149"/>
      <c r="K23" s="149"/>
    </row>
    <row r="24" spans="2:11" ht="16.5">
      <c r="B24" s="185" t="s">
        <v>492</v>
      </c>
      <c r="C24" s="182" t="s">
        <v>493</v>
      </c>
      <c r="D24" s="182"/>
      <c r="E24" s="186">
        <f>ROUND(Sum_42,0)</f>
        <v>0</v>
      </c>
      <c r="F24" s="181"/>
      <c r="G24" s="182"/>
      <c r="H24" s="194">
        <f>Mva_42</f>
        <v>0</v>
      </c>
      <c r="J24" s="149"/>
      <c r="K24" s="149"/>
    </row>
    <row r="25" spans="2:11" ht="16.5">
      <c r="B25" s="185" t="s">
        <v>618</v>
      </c>
      <c r="C25" s="182" t="s">
        <v>619</v>
      </c>
      <c r="D25" s="182"/>
      <c r="E25" s="186">
        <f>ROUND(Sum_44,0)</f>
        <v>0</v>
      </c>
      <c r="F25" s="181"/>
      <c r="G25" s="182"/>
      <c r="H25" s="194">
        <f>Mva_44</f>
        <v>0</v>
      </c>
      <c r="J25" s="149"/>
      <c r="K25" s="149"/>
    </row>
    <row r="26" spans="2:11" ht="16.5">
      <c r="B26" s="185"/>
      <c r="C26" s="187" t="s">
        <v>494</v>
      </c>
      <c r="D26" s="187"/>
      <c r="E26" s="188" t="s">
        <v>467</v>
      </c>
      <c r="F26" s="186">
        <f>SUM(E12:E25)</f>
        <v>0</v>
      </c>
      <c r="G26" s="182"/>
      <c r="H26" s="195"/>
      <c r="I26" s="195"/>
      <c r="J26" s="149"/>
      <c r="K26" s="149"/>
    </row>
    <row r="27" spans="2:11" ht="16.5">
      <c r="B27" s="185" t="s">
        <v>495</v>
      </c>
      <c r="C27" s="182" t="s">
        <v>496</v>
      </c>
      <c r="D27" s="182"/>
      <c r="E27" s="186">
        <f>ROUND(Sum_51,0)</f>
        <v>0</v>
      </c>
      <c r="F27" s="181"/>
      <c r="G27" s="182"/>
      <c r="H27" s="194">
        <f>Mva_51</f>
        <v>0</v>
      </c>
      <c r="J27" s="149"/>
      <c r="K27" s="149"/>
    </row>
    <row r="28" spans="2:11" ht="16.5">
      <c r="B28" s="185" t="s">
        <v>497</v>
      </c>
      <c r="C28" s="189" t="s">
        <v>498</v>
      </c>
      <c r="D28" s="189"/>
      <c r="E28" s="186">
        <f>ROUND(Sum_52,0)</f>
        <v>0</v>
      </c>
      <c r="F28" s="181"/>
      <c r="G28" s="182"/>
      <c r="H28" s="194">
        <f>Mva_52</f>
        <v>0</v>
      </c>
      <c r="J28" s="149"/>
      <c r="K28" s="149"/>
    </row>
    <row r="29" spans="2:11" ht="16.5">
      <c r="B29" s="185" t="s">
        <v>499</v>
      </c>
      <c r="C29" s="182" t="s">
        <v>500</v>
      </c>
      <c r="D29" s="182"/>
      <c r="E29" s="186">
        <f>ROUND(Sum_53,0)</f>
        <v>0</v>
      </c>
      <c r="F29" s="181"/>
      <c r="G29" s="182"/>
      <c r="H29" s="194">
        <f>Mva_53</f>
        <v>0</v>
      </c>
      <c r="J29" s="149"/>
      <c r="K29" s="149"/>
    </row>
    <row r="30" spans="2:11" ht="16.5">
      <c r="B30" s="185" t="s">
        <v>501</v>
      </c>
      <c r="C30" s="182" t="s">
        <v>502</v>
      </c>
      <c r="D30" s="182"/>
      <c r="E30" s="186">
        <f>ROUND(Sum_54,0)</f>
        <v>0</v>
      </c>
      <c r="F30" s="181"/>
      <c r="G30" s="182"/>
      <c r="H30" s="194">
        <f>Mva_54</f>
        <v>0</v>
      </c>
      <c r="J30" s="149"/>
      <c r="K30" s="149"/>
    </row>
    <row r="31" spans="2:11" ht="16.5">
      <c r="B31" s="185" t="s">
        <v>503</v>
      </c>
      <c r="C31" s="182" t="s">
        <v>504</v>
      </c>
      <c r="D31" s="182"/>
      <c r="E31" s="186">
        <f>ROUND(Sum_55,0)</f>
        <v>0</v>
      </c>
      <c r="F31" s="190"/>
      <c r="G31" s="182"/>
      <c r="H31" s="194">
        <f>Mva_55</f>
        <v>0</v>
      </c>
      <c r="J31" s="149"/>
      <c r="K31" s="149"/>
    </row>
    <row r="32" spans="2:11" ht="16.5">
      <c r="B32" s="185" t="s">
        <v>505</v>
      </c>
      <c r="C32" s="182" t="s">
        <v>823</v>
      </c>
      <c r="D32" s="182"/>
      <c r="E32" s="186">
        <f>ROUND(Sum_56,0)</f>
        <v>0</v>
      </c>
      <c r="F32" s="190"/>
      <c r="G32" s="182"/>
      <c r="H32" s="194">
        <f>Mva_56</f>
        <v>0</v>
      </c>
      <c r="J32" s="149"/>
      <c r="K32" s="149"/>
    </row>
    <row r="33" spans="2:11" ht="16.5">
      <c r="B33" s="185"/>
      <c r="C33" s="187" t="s">
        <v>506</v>
      </c>
      <c r="D33" s="187"/>
      <c r="E33" s="188" t="s">
        <v>467</v>
      </c>
      <c r="F33" s="186">
        <f>SUM(E27:E32)</f>
        <v>0</v>
      </c>
      <c r="G33" s="182"/>
      <c r="H33" s="195"/>
      <c r="I33" s="195"/>
      <c r="J33" s="149"/>
      <c r="K33" s="149"/>
    </row>
    <row r="34" spans="2:11" ht="16.5">
      <c r="B34" s="185" t="s">
        <v>507</v>
      </c>
      <c r="C34" s="182" t="s">
        <v>508</v>
      </c>
      <c r="D34" s="182"/>
      <c r="E34" s="186">
        <f>Sum_61</f>
        <v>0</v>
      </c>
      <c r="F34" s="190"/>
      <c r="G34" s="182"/>
      <c r="H34" s="194">
        <f>Mva_61</f>
        <v>0</v>
      </c>
      <c r="J34" s="149"/>
      <c r="K34" s="149"/>
    </row>
    <row r="35" spans="2:11" ht="17.25" thickBot="1">
      <c r="B35" s="185"/>
      <c r="C35" s="182"/>
      <c r="D35" s="182"/>
      <c r="E35" s="188" t="s">
        <v>467</v>
      </c>
      <c r="F35" s="186">
        <f>E34</f>
        <v>0</v>
      </c>
      <c r="G35" s="182"/>
      <c r="H35" s="195"/>
      <c r="I35" s="195"/>
      <c r="J35" s="149"/>
      <c r="K35" s="149"/>
    </row>
    <row r="36" spans="2:11" ht="16.5">
      <c r="B36" s="185"/>
      <c r="C36" s="187" t="s">
        <v>509</v>
      </c>
      <c r="D36" s="187"/>
      <c r="E36" s="188"/>
      <c r="F36" s="191">
        <f>F11+F26+F33+F35</f>
        <v>0</v>
      </c>
      <c r="G36" s="182"/>
      <c r="H36" s="195"/>
      <c r="I36" s="195"/>
      <c r="J36" s="149"/>
      <c r="K36" s="149"/>
    </row>
    <row r="37" spans="2:11" ht="17.25" thickBot="1">
      <c r="B37" s="185" t="s">
        <v>510</v>
      </c>
      <c r="C37" s="182" t="s">
        <v>511</v>
      </c>
      <c r="D37" s="182"/>
      <c r="E37" s="192">
        <f>IF(F37,F37/F36,"")</f>
      </c>
      <c r="F37" s="186">
        <f>ROUND(Sum_62,0)</f>
        <v>0</v>
      </c>
      <c r="G37" s="182"/>
      <c r="H37" s="196"/>
      <c r="I37" s="196"/>
      <c r="J37" s="149"/>
      <c r="K37" s="149"/>
    </row>
    <row r="38" spans="2:11" ht="17.25" thickBot="1">
      <c r="B38" s="185"/>
      <c r="C38" s="187" t="s">
        <v>512</v>
      </c>
      <c r="D38" s="187"/>
      <c r="E38" s="181"/>
      <c r="F38" s="193">
        <f>F36+F37</f>
        <v>0</v>
      </c>
      <c r="G38" s="182"/>
      <c r="H38" s="197">
        <f>SUM(H9:H34)</f>
        <v>0</v>
      </c>
      <c r="J38" s="149"/>
      <c r="K38" s="149"/>
    </row>
    <row r="39" spans="2:11" ht="17.25" thickTop="1">
      <c r="B39" s="182"/>
      <c r="C39" s="206"/>
      <c r="D39" s="207"/>
      <c r="E39" s="188"/>
      <c r="F39" s="181"/>
      <c r="G39" s="182"/>
      <c r="H39" s="195"/>
      <c r="I39" s="195"/>
      <c r="J39" s="149"/>
      <c r="K39" s="149"/>
    </row>
    <row r="40" spans="2:11" ht="16.5">
      <c r="B40" s="185"/>
      <c r="C40" s="187"/>
      <c r="D40" s="187"/>
      <c r="E40" s="181"/>
      <c r="F40" s="181"/>
      <c r="G40" s="182"/>
      <c r="H40" s="170"/>
      <c r="J40" s="149"/>
      <c r="K40" s="149"/>
    </row>
    <row r="41" spans="2:11" ht="16.5">
      <c r="B41" s="61"/>
      <c r="C41" s="60"/>
      <c r="D41" s="60"/>
      <c r="E41" s="59"/>
      <c r="F41" s="62"/>
      <c r="J41" s="149"/>
      <c r="K41" s="149"/>
    </row>
    <row r="42" spans="2:11" ht="16.5">
      <c r="B42" s="23"/>
      <c r="E42" s="23"/>
      <c r="F42" s="23"/>
      <c r="H42" s="83"/>
      <c r="I42" s="83"/>
      <c r="J42" s="149"/>
      <c r="K42" s="149"/>
    </row>
    <row r="43" spans="1:11" ht="16.5">
      <c r="A43" s="149"/>
      <c r="B43" s="149"/>
      <c r="C43" s="149"/>
      <c r="D43" s="149"/>
      <c r="E43" s="149"/>
      <c r="F43" s="149"/>
      <c r="G43" s="149"/>
      <c r="H43" s="149"/>
      <c r="I43" s="149"/>
      <c r="J43" s="149"/>
      <c r="K43" s="149"/>
    </row>
    <row r="44" spans="1:11" ht="226.5" customHeight="1">
      <c r="A44" s="149"/>
      <c r="B44" s="149"/>
      <c r="C44" s="149"/>
      <c r="D44" s="149"/>
      <c r="E44" s="149"/>
      <c r="F44" s="149"/>
      <c r="G44" s="149"/>
      <c r="H44" s="149"/>
      <c r="I44" s="149"/>
      <c r="J44" s="149"/>
      <c r="K44" s="149"/>
    </row>
    <row r="45" spans="1:11" ht="16.5">
      <c r="A45" s="149"/>
      <c r="B45" s="149"/>
      <c r="C45" s="149"/>
      <c r="D45" s="149"/>
      <c r="E45" s="149"/>
      <c r="F45" s="149"/>
      <c r="G45" s="149"/>
      <c r="H45" s="149"/>
      <c r="I45" s="149"/>
      <c r="J45" s="149"/>
      <c r="K45" s="149"/>
    </row>
  </sheetData>
  <sheetProtection sheet="1" objects="1" scenarios="1"/>
  <printOptions/>
  <pageMargins left="0.5511811023622047" right="0.2362204724409449" top="0.7086614173228347" bottom="0.1968503937007874" header="0.7480314960629921" footer="0.2362204724409449"/>
  <pageSetup blackAndWhite="1" fitToHeight="1" fitToWidth="1" horizontalDpi="300" verticalDpi="300" orientation="portrait" paperSize="9"/>
  <rowBreaks count="1" manualBreakCount="1">
    <brk id="42" max="65535" man="1"/>
  </rowBreaks>
  <colBreaks count="1" manualBreakCount="1">
    <brk id="9" min="1" max="42" man="1"/>
  </colBreaks>
</worksheet>
</file>

<file path=xl/worksheets/sheet6.xml><?xml version="1.0" encoding="utf-8"?>
<worksheet xmlns="http://schemas.openxmlformats.org/spreadsheetml/2006/main" xmlns:r="http://schemas.openxmlformats.org/officeDocument/2006/relationships">
  <sheetPr codeName="Ark6">
    <pageSetUpPr fitToPage="1"/>
  </sheetPr>
  <dimension ref="A1:O943"/>
  <sheetViews>
    <sheetView showGridLines="0" showRowColHeaders="0" showZeros="0" tabSelected="1" showOutlineSymbols="0" zoomScale="125" zoomScaleNormal="125" workbookViewId="0" topLeftCell="A1">
      <pane ySplit="5" topLeftCell="BM6" activePane="bottomLeft" state="frozen"/>
      <selection pane="topLeft" activeCell="A1" sqref="A1"/>
      <selection pane="bottomLeft" activeCell="A6" sqref="A6"/>
    </sheetView>
  </sheetViews>
  <sheetFormatPr defaultColWidth="9.7109375" defaultRowHeight="12.75"/>
  <cols>
    <col min="1" max="1" width="6.421875" style="226" customWidth="1"/>
    <col min="2" max="2" width="22.7109375" style="1" customWidth="1"/>
    <col min="3" max="3" width="18.7109375" style="19" customWidth="1"/>
    <col min="4" max="4" width="6.7109375" style="48" customWidth="1"/>
    <col min="5" max="5" width="5.28125" style="64" customWidth="1"/>
    <col min="6" max="6" width="7.7109375" style="48" customWidth="1"/>
    <col min="7" max="7" width="8.421875" style="44" customWidth="1"/>
    <col min="8" max="8" width="3.00390625" style="50" customWidth="1"/>
    <col min="9" max="9" width="6.7109375" style="48" customWidth="1"/>
    <col min="10" max="10" width="1.7109375" style="48" customWidth="1"/>
    <col min="11" max="11" width="1.7109375" style="368" customWidth="1"/>
    <col min="12" max="12" width="8.28125" style="516" customWidth="1"/>
    <col min="13" max="13" width="2.7109375" style="157" customWidth="1"/>
    <col min="14" max="14" width="54.140625" style="157" customWidth="1"/>
    <col min="15" max="15" width="12.7109375" style="157" customWidth="1"/>
    <col min="16" max="16384" width="9.7109375" style="157" customWidth="1"/>
  </cols>
  <sheetData>
    <row r="1" spans="1:15" ht="18" customHeight="1">
      <c r="A1" s="225"/>
      <c r="B1" s="149"/>
      <c r="C1" s="149"/>
      <c r="D1" s="149"/>
      <c r="E1" s="149"/>
      <c r="F1" s="149"/>
      <c r="G1" s="149"/>
      <c r="H1" s="149"/>
      <c r="I1" s="149"/>
      <c r="J1" s="149"/>
      <c r="K1" s="365"/>
      <c r="L1" s="514"/>
      <c r="M1" s="149"/>
      <c r="N1" s="149"/>
      <c r="O1" s="149"/>
    </row>
    <row r="2" spans="1:15" ht="18" customHeight="1">
      <c r="A2" s="225"/>
      <c r="B2" s="149"/>
      <c r="C2" s="149"/>
      <c r="D2" s="149"/>
      <c r="E2" s="149"/>
      <c r="F2" s="149"/>
      <c r="G2" s="149"/>
      <c r="H2" s="604">
        <f>TOTAL</f>
        <v>0</v>
      </c>
      <c r="I2" s="605"/>
      <c r="J2" s="149"/>
      <c r="K2" s="365"/>
      <c r="L2" s="514"/>
      <c r="M2" s="149"/>
      <c r="N2" s="374">
        <f>FORUTSETNINGER!$N$2</f>
        <v>1.25</v>
      </c>
      <c r="O2" s="149"/>
    </row>
    <row r="3" spans="1:15" s="1" customFormat="1" ht="10.5" customHeight="1">
      <c r="A3" s="598" t="s">
        <v>825</v>
      </c>
      <c r="B3" s="575" t="s">
        <v>691</v>
      </c>
      <c r="C3" s="360" t="s">
        <v>689</v>
      </c>
      <c r="D3" s="33" t="s">
        <v>422</v>
      </c>
      <c r="E3" s="65" t="s">
        <v>423</v>
      </c>
      <c r="F3" s="33" t="s">
        <v>424</v>
      </c>
      <c r="G3" s="33" t="s">
        <v>425</v>
      </c>
      <c r="H3" s="34" t="s">
        <v>426</v>
      </c>
      <c r="I3" s="33" t="s">
        <v>427</v>
      </c>
      <c r="J3" s="33"/>
      <c r="K3" s="343"/>
      <c r="L3" s="515" t="s">
        <v>688</v>
      </c>
      <c r="M3" s="41"/>
      <c r="N3" s="344"/>
      <c r="O3" s="149"/>
    </row>
    <row r="4" spans="1:15" s="1" customFormat="1" ht="12.75" hidden="1">
      <c r="A4" s="226"/>
      <c r="C4" s="19"/>
      <c r="D4" s="48"/>
      <c r="E4" s="64"/>
      <c r="F4" s="48"/>
      <c r="G4" s="44"/>
      <c r="H4" s="50"/>
      <c r="I4" s="48"/>
      <c r="J4" s="48"/>
      <c r="K4" s="366"/>
      <c r="L4" s="516"/>
      <c r="M4" s="149"/>
      <c r="N4" s="149"/>
      <c r="O4" s="149"/>
    </row>
    <row r="5" spans="1:15" s="1" customFormat="1" ht="1.5" customHeight="1">
      <c r="A5" s="225"/>
      <c r="B5" s="149"/>
      <c r="C5" s="149"/>
      <c r="D5" s="149"/>
      <c r="E5" s="149"/>
      <c r="F5" s="149"/>
      <c r="G5" s="149"/>
      <c r="H5" s="149"/>
      <c r="I5" s="149"/>
      <c r="J5" s="149"/>
      <c r="K5" s="365"/>
      <c r="L5" s="514"/>
      <c r="M5" s="149"/>
      <c r="N5" s="149"/>
      <c r="O5" s="149"/>
    </row>
    <row r="6" spans="1:15" ht="0.75" customHeight="1">
      <c r="A6" s="227" t="s">
        <v>539</v>
      </c>
      <c r="B6" s="1" t="s">
        <v>539</v>
      </c>
      <c r="C6" s="19" t="s">
        <v>539</v>
      </c>
      <c r="D6" s="48" t="s">
        <v>539</v>
      </c>
      <c r="F6" s="48" t="s">
        <v>539</v>
      </c>
      <c r="G6" s="44" t="s">
        <v>539</v>
      </c>
      <c r="H6" s="50" t="s">
        <v>539</v>
      </c>
      <c r="I6" s="48" t="s">
        <v>539</v>
      </c>
      <c r="K6" s="366"/>
      <c r="L6" s="517" t="s">
        <v>328</v>
      </c>
      <c r="N6" s="199"/>
      <c r="O6" s="199"/>
    </row>
    <row r="7" spans="1:15" s="1" customFormat="1" ht="24.75" customHeight="1">
      <c r="A7" s="228" t="s">
        <v>513</v>
      </c>
      <c r="B7" s="15"/>
      <c r="C7" s="51"/>
      <c r="D7" s="171" t="s">
        <v>422</v>
      </c>
      <c r="E7" s="172" t="s">
        <v>423</v>
      </c>
      <c r="F7" s="171" t="s">
        <v>424</v>
      </c>
      <c r="G7" s="171" t="s">
        <v>425</v>
      </c>
      <c r="H7" s="171" t="s">
        <v>426</v>
      </c>
      <c r="I7" s="173" t="s">
        <v>427</v>
      </c>
      <c r="J7" s="173"/>
      <c r="K7" s="366"/>
      <c r="L7" s="518" t="s">
        <v>688</v>
      </c>
      <c r="M7" s="169"/>
      <c r="N7" s="199"/>
      <c r="O7" s="199"/>
    </row>
    <row r="8" spans="1:15" s="1" customFormat="1" ht="12.75">
      <c r="A8" s="224">
        <v>101010</v>
      </c>
      <c r="B8" s="8" t="s">
        <v>540</v>
      </c>
      <c r="C8" s="20"/>
      <c r="D8" s="66"/>
      <c r="E8" s="66"/>
      <c r="F8" s="92"/>
      <c r="G8" s="377">
        <f>IF(X=0,(IF(Me=0,Sa,Me*Sa)),(IF(Me=0,Sa*X,Me*X*Sa)))</f>
        <v>0</v>
      </c>
      <c r="H8" s="375">
        <f aca="true" t="shared" si="0" ref="H8:H19">IF(Sum,Sos,0)</f>
        <v>0</v>
      </c>
      <c r="I8" s="376">
        <f>IF(Prosent&lt;&gt;0,(Sum*Prosent)/100,0)</f>
        <v>0</v>
      </c>
      <c r="J8" s="41"/>
      <c r="K8" s="367"/>
      <c r="L8" s="519">
        <f>IF(FMVA&lt;&gt;"",(IF(X=mva,(Sum/mva)*MVAsats%,Sum*MVAsats%)),"")</f>
      </c>
      <c r="M8" s="169"/>
      <c r="N8" s="199"/>
      <c r="O8" s="199"/>
    </row>
    <row r="9" spans="1:15" s="1" customFormat="1" ht="12.75">
      <c r="A9" s="224">
        <v>101011</v>
      </c>
      <c r="B9" s="8" t="s">
        <v>541</v>
      </c>
      <c r="C9" s="20"/>
      <c r="D9" s="67"/>
      <c r="E9" s="66"/>
      <c r="F9" s="92"/>
      <c r="G9" s="378">
        <f aca="true" t="shared" si="1" ref="G9:G19">IF(X=0,(IF(Me=0,Sa,Me*Sa)),(IF(Me=0,Sa*X,Me*X*Sa)))</f>
        <v>0</v>
      </c>
      <c r="H9" s="375">
        <f t="shared" si="0"/>
        <v>0</v>
      </c>
      <c r="I9" s="376">
        <f aca="true" t="shared" si="2" ref="I9:I16">IF(Prosent&lt;&gt;0,(Sum*Prosent)/100,0)</f>
        <v>0</v>
      </c>
      <c r="J9" s="41"/>
      <c r="K9" s="367"/>
      <c r="L9" s="519">
        <f aca="true" t="shared" si="3" ref="L9:L32">IF(FMVA&lt;&gt;"",(IF(X=mva,(Sum/mva)*MVAsats%,Sum*MVAsats%)),"")</f>
      </c>
      <c r="M9" s="169"/>
      <c r="N9" s="199"/>
      <c r="O9" s="199"/>
    </row>
    <row r="10" spans="1:15" s="1" customFormat="1" ht="12.75">
      <c r="A10" s="224">
        <v>101012</v>
      </c>
      <c r="B10" s="8" t="s">
        <v>542</v>
      </c>
      <c r="C10" s="20"/>
      <c r="D10" s="67"/>
      <c r="E10" s="66"/>
      <c r="F10" s="92"/>
      <c r="G10" s="378">
        <f t="shared" si="1"/>
        <v>0</v>
      </c>
      <c r="H10" s="375">
        <f t="shared" si="0"/>
        <v>0</v>
      </c>
      <c r="I10" s="376">
        <f t="shared" si="2"/>
        <v>0</v>
      </c>
      <c r="J10" s="41"/>
      <c r="K10" s="367"/>
      <c r="L10" s="519">
        <f t="shared" si="3"/>
      </c>
      <c r="M10" s="169"/>
      <c r="N10" s="199"/>
      <c r="O10" s="199"/>
    </row>
    <row r="11" spans="1:15" s="1" customFormat="1" ht="12.75">
      <c r="A11" s="224">
        <v>101013</v>
      </c>
      <c r="B11" s="8" t="s">
        <v>543</v>
      </c>
      <c r="C11" s="20"/>
      <c r="D11" s="67"/>
      <c r="E11" s="66"/>
      <c r="F11" s="92"/>
      <c r="G11" s="378">
        <f t="shared" si="1"/>
        <v>0</v>
      </c>
      <c r="H11" s="375">
        <f t="shared" si="0"/>
        <v>0</v>
      </c>
      <c r="I11" s="376">
        <f t="shared" si="2"/>
        <v>0</v>
      </c>
      <c r="J11" s="41"/>
      <c r="K11" s="367"/>
      <c r="L11" s="519">
        <f t="shared" si="3"/>
      </c>
      <c r="M11" s="169"/>
      <c r="N11" s="199"/>
      <c r="O11" s="199"/>
    </row>
    <row r="12" spans="1:15" s="1" customFormat="1" ht="12.75">
      <c r="A12" s="224">
        <v>101014</v>
      </c>
      <c r="B12" s="8" t="s">
        <v>544</v>
      </c>
      <c r="C12" s="20"/>
      <c r="D12" s="67"/>
      <c r="E12" s="66"/>
      <c r="F12" s="92"/>
      <c r="G12" s="378">
        <f t="shared" si="1"/>
        <v>0</v>
      </c>
      <c r="H12" s="375">
        <f t="shared" si="0"/>
        <v>0</v>
      </c>
      <c r="I12" s="376">
        <f t="shared" si="2"/>
        <v>0</v>
      </c>
      <c r="J12" s="41"/>
      <c r="K12" s="367"/>
      <c r="L12" s="519">
        <f t="shared" si="3"/>
      </c>
      <c r="M12" s="169"/>
      <c r="N12" s="199"/>
      <c r="O12" s="199"/>
    </row>
    <row r="13" spans="1:15" s="1" customFormat="1" ht="12.75">
      <c r="A13" s="224">
        <v>101019</v>
      </c>
      <c r="B13" s="8" t="s">
        <v>548</v>
      </c>
      <c r="C13" s="20"/>
      <c r="D13" s="67"/>
      <c r="E13" s="66"/>
      <c r="F13" s="92"/>
      <c r="G13" s="378">
        <f t="shared" si="1"/>
        <v>0</v>
      </c>
      <c r="H13" s="375">
        <f t="shared" si="0"/>
        <v>0</v>
      </c>
      <c r="I13" s="376">
        <f t="shared" si="2"/>
        <v>0</v>
      </c>
      <c r="J13" s="41"/>
      <c r="K13" s="367"/>
      <c r="L13" s="519">
        <f t="shared" si="3"/>
      </c>
      <c r="M13" s="169"/>
      <c r="N13" s="199"/>
      <c r="O13" s="199"/>
    </row>
    <row r="14" spans="1:15" s="1" customFormat="1" ht="12.75">
      <c r="A14" s="224">
        <v>101110</v>
      </c>
      <c r="B14" s="8" t="s">
        <v>360</v>
      </c>
      <c r="C14" s="20"/>
      <c r="D14" s="67"/>
      <c r="E14" s="66"/>
      <c r="F14" s="92"/>
      <c r="G14" s="378">
        <f t="shared" si="1"/>
        <v>0</v>
      </c>
      <c r="H14" s="375">
        <f t="shared" si="0"/>
        <v>0</v>
      </c>
      <c r="I14" s="376">
        <f t="shared" si="2"/>
        <v>0</v>
      </c>
      <c r="J14" s="41"/>
      <c r="K14" s="367"/>
      <c r="L14" s="519">
        <f t="shared" si="3"/>
      </c>
      <c r="M14" s="169"/>
      <c r="N14" s="199"/>
      <c r="O14" s="199"/>
    </row>
    <row r="15" spans="1:15" s="1" customFormat="1" ht="12.75">
      <c r="A15" s="224">
        <v>101218</v>
      </c>
      <c r="B15" s="8" t="s">
        <v>549</v>
      </c>
      <c r="C15" s="20"/>
      <c r="D15" s="67"/>
      <c r="E15" s="66"/>
      <c r="F15" s="92"/>
      <c r="G15" s="378">
        <f t="shared" si="1"/>
        <v>0</v>
      </c>
      <c r="H15" s="375">
        <f t="shared" si="0"/>
        <v>0</v>
      </c>
      <c r="I15" s="376">
        <f t="shared" si="2"/>
        <v>0</v>
      </c>
      <c r="J15" s="41"/>
      <c r="K15" s="367"/>
      <c r="L15" s="519">
        <f t="shared" si="3"/>
      </c>
      <c r="M15" s="169"/>
      <c r="N15" s="199"/>
      <c r="O15" s="199"/>
    </row>
    <row r="16" spans="1:15" s="1" customFormat="1" ht="12.75">
      <c r="A16" s="224">
        <v>104010</v>
      </c>
      <c r="B16" s="8" t="s">
        <v>550</v>
      </c>
      <c r="C16" s="20"/>
      <c r="D16" s="67"/>
      <c r="E16" s="66"/>
      <c r="F16" s="92"/>
      <c r="G16" s="378">
        <f t="shared" si="1"/>
        <v>0</v>
      </c>
      <c r="H16" s="375">
        <f t="shared" si="0"/>
        <v>0</v>
      </c>
      <c r="I16" s="376">
        <f t="shared" si="2"/>
        <v>0</v>
      </c>
      <c r="J16" s="41"/>
      <c r="K16" s="367"/>
      <c r="L16" s="519">
        <f t="shared" si="3"/>
      </c>
      <c r="M16" s="169"/>
      <c r="N16" s="199"/>
      <c r="O16" s="199"/>
    </row>
    <row r="17" spans="1:15" s="1" customFormat="1" ht="12.75">
      <c r="A17" s="224">
        <v>104016</v>
      </c>
      <c r="B17" s="10" t="s">
        <v>551</v>
      </c>
      <c r="C17" s="20"/>
      <c r="D17" s="67"/>
      <c r="E17" s="66"/>
      <c r="F17" s="92"/>
      <c r="G17" s="378">
        <f t="shared" si="1"/>
        <v>0</v>
      </c>
      <c r="H17" s="375">
        <f t="shared" si="0"/>
        <v>0</v>
      </c>
      <c r="I17" s="376">
        <f>IF(H17&lt;&gt;0,(G17*H17)/100,0)</f>
        <v>0</v>
      </c>
      <c r="J17" s="41"/>
      <c r="K17" s="367"/>
      <c r="L17" s="519">
        <f t="shared" si="3"/>
      </c>
      <c r="M17" s="169"/>
      <c r="N17" s="199"/>
      <c r="O17" s="199"/>
    </row>
    <row r="18" spans="1:15" s="1" customFormat="1" ht="12.75">
      <c r="A18" s="224">
        <v>104090</v>
      </c>
      <c r="B18" s="10" t="s">
        <v>552</v>
      </c>
      <c r="C18" s="20"/>
      <c r="D18" s="67"/>
      <c r="E18" s="66"/>
      <c r="F18" s="92"/>
      <c r="G18" s="378">
        <f t="shared" si="1"/>
        <v>0</v>
      </c>
      <c r="H18" s="375">
        <f t="shared" si="0"/>
        <v>0</v>
      </c>
      <c r="I18" s="376">
        <f>IF(H18&lt;&gt;0,(G18*H18)/100,0)</f>
        <v>0</v>
      </c>
      <c r="J18" s="41"/>
      <c r="K18" s="367"/>
      <c r="L18" s="519">
        <f t="shared" si="3"/>
      </c>
      <c r="M18" s="169"/>
      <c r="N18" s="199"/>
      <c r="O18" s="199"/>
    </row>
    <row r="19" spans="1:15" s="1" customFormat="1" ht="12.75">
      <c r="A19" s="224">
        <v>104091</v>
      </c>
      <c r="B19" s="9" t="s">
        <v>553</v>
      </c>
      <c r="C19" s="20"/>
      <c r="D19" s="68"/>
      <c r="E19" s="66"/>
      <c r="F19" s="93"/>
      <c r="G19" s="378">
        <f t="shared" si="1"/>
        <v>0</v>
      </c>
      <c r="H19" s="375">
        <f t="shared" si="0"/>
        <v>0</v>
      </c>
      <c r="I19" s="376">
        <f>IF(H19&lt;&gt;0,(G19*H19)/100,0)</f>
        <v>0</v>
      </c>
      <c r="J19" s="41"/>
      <c r="K19" s="367"/>
      <c r="L19" s="519">
        <f t="shared" si="3"/>
      </c>
      <c r="M19" s="169"/>
      <c r="N19" s="199"/>
      <c r="O19" s="199"/>
    </row>
    <row r="20" spans="1:15" s="1" customFormat="1" ht="12.75">
      <c r="A20" s="224">
        <v>104095</v>
      </c>
      <c r="B20" s="53" t="s">
        <v>554</v>
      </c>
      <c r="C20" s="20"/>
      <c r="D20" s="69"/>
      <c r="E20" s="66"/>
      <c r="F20" s="94"/>
      <c r="G20" s="378">
        <f>SUM(I8:I19)</f>
        <v>0</v>
      </c>
      <c r="H20" s="38"/>
      <c r="I20" s="39" t="s">
        <v>555</v>
      </c>
      <c r="J20" s="39"/>
      <c r="K20" s="572"/>
      <c r="L20" s="520"/>
      <c r="M20" s="169"/>
      <c r="N20" s="199"/>
      <c r="O20" s="199"/>
    </row>
    <row r="21" spans="1:15" s="1" customFormat="1" ht="12.75">
      <c r="A21" s="224">
        <v>109010</v>
      </c>
      <c r="B21" s="52" t="s">
        <v>556</v>
      </c>
      <c r="C21" s="20"/>
      <c r="D21" s="70"/>
      <c r="E21" s="66"/>
      <c r="F21" s="95"/>
      <c r="G21" s="378">
        <f aca="true" t="shared" si="4" ref="G21:G32">IF(X=0,(IF(Me=0,Sa,Me*Sa)),(IF(Me=0,Sa*X,Me*X*Sa)))</f>
        <v>0</v>
      </c>
      <c r="H21" s="38"/>
      <c r="I21" s="39"/>
      <c r="J21" s="39"/>
      <c r="K21" s="367"/>
      <c r="L21" s="519">
        <f t="shared" si="3"/>
      </c>
      <c r="M21" s="169"/>
      <c r="N21" s="199"/>
      <c r="O21" s="199"/>
    </row>
    <row r="22" spans="1:15" s="1" customFormat="1" ht="12.75">
      <c r="A22" s="224">
        <v>109013</v>
      </c>
      <c r="B22" s="9" t="s">
        <v>557</v>
      </c>
      <c r="C22" s="20"/>
      <c r="D22" s="70"/>
      <c r="E22" s="66"/>
      <c r="F22" s="95"/>
      <c r="G22" s="378">
        <f t="shared" si="4"/>
        <v>0</v>
      </c>
      <c r="H22" s="38"/>
      <c r="I22" s="41"/>
      <c r="J22" s="41"/>
      <c r="K22" s="367"/>
      <c r="L22" s="519">
        <f t="shared" si="3"/>
      </c>
      <c r="M22" s="169"/>
      <c r="N22" s="199"/>
      <c r="O22" s="199"/>
    </row>
    <row r="23" spans="1:15" s="1" customFormat="1" ht="12.75">
      <c r="A23" s="224">
        <v>109022</v>
      </c>
      <c r="B23" s="9" t="s">
        <v>558</v>
      </c>
      <c r="C23" s="20"/>
      <c r="D23" s="70"/>
      <c r="E23" s="66"/>
      <c r="F23" s="95"/>
      <c r="G23" s="378">
        <f t="shared" si="4"/>
        <v>0</v>
      </c>
      <c r="H23" s="42"/>
      <c r="I23" s="41"/>
      <c r="J23" s="41"/>
      <c r="K23" s="367"/>
      <c r="L23" s="519">
        <f t="shared" si="3"/>
      </c>
      <c r="M23" s="169"/>
      <c r="N23" s="199"/>
      <c r="O23" s="199"/>
    </row>
    <row r="24" spans="1:15" s="1" customFormat="1" ht="12.75">
      <c r="A24" s="224">
        <v>109029</v>
      </c>
      <c r="B24" s="9" t="s">
        <v>561</v>
      </c>
      <c r="C24" s="20"/>
      <c r="D24" s="70"/>
      <c r="E24" s="66"/>
      <c r="F24" s="95"/>
      <c r="G24" s="378">
        <f t="shared" si="4"/>
        <v>0</v>
      </c>
      <c r="H24" s="42"/>
      <c r="I24" s="41"/>
      <c r="J24" s="41"/>
      <c r="K24" s="367"/>
      <c r="L24" s="519">
        <f t="shared" si="3"/>
      </c>
      <c r="M24" s="169"/>
      <c r="N24" s="199"/>
      <c r="O24" s="199"/>
    </row>
    <row r="25" spans="1:15" s="1" customFormat="1" ht="12.75">
      <c r="A25" s="224">
        <v>109060</v>
      </c>
      <c r="B25" s="9" t="s">
        <v>562</v>
      </c>
      <c r="C25" s="20"/>
      <c r="D25" s="70"/>
      <c r="E25" s="66"/>
      <c r="F25" s="95"/>
      <c r="G25" s="378">
        <f t="shared" si="4"/>
        <v>0</v>
      </c>
      <c r="H25" s="42"/>
      <c r="I25" s="41"/>
      <c r="J25" s="41"/>
      <c r="K25" s="367"/>
      <c r="L25" s="519">
        <f t="shared" si="3"/>
      </c>
      <c r="M25" s="169"/>
      <c r="N25" s="199"/>
      <c r="O25" s="199"/>
    </row>
    <row r="26" spans="1:15" s="1" customFormat="1" ht="12.75">
      <c r="A26" s="224">
        <v>109061</v>
      </c>
      <c r="B26" s="9" t="s">
        <v>563</v>
      </c>
      <c r="C26" s="20"/>
      <c r="D26" s="70"/>
      <c r="E26" s="66"/>
      <c r="F26" s="95"/>
      <c r="G26" s="378">
        <f t="shared" si="4"/>
        <v>0</v>
      </c>
      <c r="H26" s="42"/>
      <c r="I26" s="41"/>
      <c r="J26" s="41"/>
      <c r="K26" s="367"/>
      <c r="L26" s="519">
        <f t="shared" si="3"/>
      </c>
      <c r="M26" s="169"/>
      <c r="N26" s="199"/>
      <c r="O26" s="199"/>
    </row>
    <row r="27" spans="1:15" s="1" customFormat="1" ht="12.75">
      <c r="A27" s="224">
        <v>109069</v>
      </c>
      <c r="B27" s="9" t="s">
        <v>564</v>
      </c>
      <c r="C27" s="20"/>
      <c r="D27" s="70"/>
      <c r="E27" s="66"/>
      <c r="F27" s="95"/>
      <c r="G27" s="378">
        <f t="shared" si="4"/>
        <v>0</v>
      </c>
      <c r="H27" s="38"/>
      <c r="I27" s="43"/>
      <c r="J27" s="43"/>
      <c r="K27" s="367"/>
      <c r="L27" s="519">
        <f t="shared" si="3"/>
      </c>
      <c r="M27" s="169"/>
      <c r="N27" s="199"/>
      <c r="O27" s="199"/>
    </row>
    <row r="28" spans="1:15" s="1" customFormat="1" ht="12.75">
      <c r="A28" s="224">
        <v>109070</v>
      </c>
      <c r="B28" s="9" t="s">
        <v>565</v>
      </c>
      <c r="C28" s="20"/>
      <c r="D28" s="70"/>
      <c r="E28" s="66"/>
      <c r="F28" s="95"/>
      <c r="G28" s="378">
        <f t="shared" si="4"/>
        <v>0</v>
      </c>
      <c r="H28" s="38"/>
      <c r="I28" s="43"/>
      <c r="J28" s="43"/>
      <c r="K28" s="367"/>
      <c r="L28" s="519">
        <f t="shared" si="3"/>
      </c>
      <c r="M28" s="169"/>
      <c r="N28" s="199"/>
      <c r="O28" s="199"/>
    </row>
    <row r="29" spans="1:15" s="1" customFormat="1" ht="12.75">
      <c r="A29" s="224">
        <v>109072</v>
      </c>
      <c r="B29" s="9" t="s">
        <v>566</v>
      </c>
      <c r="C29" s="20"/>
      <c r="D29" s="70"/>
      <c r="E29" s="66"/>
      <c r="F29" s="95"/>
      <c r="G29" s="378">
        <f t="shared" si="4"/>
        <v>0</v>
      </c>
      <c r="H29" s="38"/>
      <c r="I29" s="43"/>
      <c r="J29" s="43"/>
      <c r="K29" s="367"/>
      <c r="L29" s="519">
        <f t="shared" si="3"/>
      </c>
      <c r="M29" s="169"/>
      <c r="N29" s="199"/>
      <c r="O29" s="199"/>
    </row>
    <row r="30" spans="1:15" s="1" customFormat="1" ht="12.75">
      <c r="A30" s="224">
        <v>109073</v>
      </c>
      <c r="B30" s="9" t="s">
        <v>567</v>
      </c>
      <c r="C30" s="20"/>
      <c r="D30" s="70"/>
      <c r="E30" s="66"/>
      <c r="F30" s="95"/>
      <c r="G30" s="378">
        <f t="shared" si="4"/>
        <v>0</v>
      </c>
      <c r="H30" s="38"/>
      <c r="I30" s="43"/>
      <c r="J30" s="43"/>
      <c r="K30" s="367"/>
      <c r="L30" s="519">
        <f t="shared" si="3"/>
      </c>
      <c r="M30" s="169"/>
      <c r="N30" s="199"/>
      <c r="O30" s="199"/>
    </row>
    <row r="31" spans="1:15" s="1" customFormat="1" ht="12.75">
      <c r="A31" s="224">
        <v>109078</v>
      </c>
      <c r="B31" s="9" t="s">
        <v>568</v>
      </c>
      <c r="C31" s="20"/>
      <c r="D31" s="70"/>
      <c r="E31" s="66"/>
      <c r="F31" s="95"/>
      <c r="G31" s="378">
        <f t="shared" si="4"/>
        <v>0</v>
      </c>
      <c r="H31" s="38"/>
      <c r="I31" s="43"/>
      <c r="J31" s="43"/>
      <c r="K31" s="367"/>
      <c r="L31" s="519">
        <f t="shared" si="3"/>
      </c>
      <c r="M31" s="169"/>
      <c r="N31" s="199"/>
      <c r="O31" s="199"/>
    </row>
    <row r="32" spans="1:15" s="1" customFormat="1" ht="12.75">
      <c r="A32" s="224">
        <v>109093</v>
      </c>
      <c r="B32" s="218" t="s">
        <v>569</v>
      </c>
      <c r="C32" s="219"/>
      <c r="D32" s="220"/>
      <c r="E32" s="66"/>
      <c r="F32" s="221"/>
      <c r="G32" s="379">
        <f t="shared" si="4"/>
        <v>0</v>
      </c>
      <c r="H32" s="38"/>
      <c r="I32" s="41"/>
      <c r="J32" s="41"/>
      <c r="K32" s="367"/>
      <c r="L32" s="519">
        <f t="shared" si="3"/>
      </c>
      <c r="M32" s="169"/>
      <c r="N32" s="199"/>
      <c r="O32" s="199"/>
    </row>
    <row r="33" spans="1:15" s="1" customFormat="1" ht="13.5" thickBot="1">
      <c r="A33" s="229" t="s">
        <v>401</v>
      </c>
      <c r="B33" s="6"/>
      <c r="C33" s="21"/>
      <c r="D33" s="41"/>
      <c r="E33" s="216"/>
      <c r="F33" s="217" t="s">
        <v>570</v>
      </c>
      <c r="G33" s="380">
        <f>SUM(G8:G32)</f>
        <v>0</v>
      </c>
      <c r="H33" s="38"/>
      <c r="I33" s="41"/>
      <c r="J33" s="41"/>
      <c r="K33" s="366"/>
      <c r="L33" s="380">
        <f>SUM(L7:L32)</f>
        <v>0</v>
      </c>
      <c r="M33" s="169"/>
      <c r="N33" s="199"/>
      <c r="O33" s="199"/>
    </row>
    <row r="34" spans="1:15" s="1" customFormat="1" ht="0.75" customHeight="1" thickTop="1">
      <c r="A34" s="226"/>
      <c r="C34" s="21"/>
      <c r="D34" s="44"/>
      <c r="E34" s="71"/>
      <c r="F34" s="44"/>
      <c r="H34" s="36"/>
      <c r="I34" s="41"/>
      <c r="J34" s="41"/>
      <c r="K34" s="366"/>
      <c r="L34" s="516"/>
      <c r="M34" s="169"/>
      <c r="N34" s="199"/>
      <c r="O34" s="199"/>
    </row>
    <row r="35" spans="1:15" s="1" customFormat="1" ht="24.75" customHeight="1" thickTop="1">
      <c r="A35" s="228" t="s">
        <v>516</v>
      </c>
      <c r="B35" s="2"/>
      <c r="C35" s="21"/>
      <c r="D35" s="171" t="s">
        <v>422</v>
      </c>
      <c r="E35" s="172" t="s">
        <v>423</v>
      </c>
      <c r="F35" s="171" t="s">
        <v>424</v>
      </c>
      <c r="G35" s="171" t="s">
        <v>425</v>
      </c>
      <c r="H35" s="171" t="s">
        <v>426</v>
      </c>
      <c r="I35" s="173" t="s">
        <v>427</v>
      </c>
      <c r="J35" s="173"/>
      <c r="K35" s="366"/>
      <c r="L35" s="518" t="s">
        <v>688</v>
      </c>
      <c r="M35" s="169"/>
      <c r="N35" s="199"/>
      <c r="O35" s="199"/>
    </row>
    <row r="36" spans="1:15" s="1" customFormat="1" ht="12.75">
      <c r="A36" s="224">
        <v>111015</v>
      </c>
      <c r="B36" s="8" t="s">
        <v>545</v>
      </c>
      <c r="C36" s="20"/>
      <c r="D36" s="67"/>
      <c r="E36" s="66"/>
      <c r="F36" s="92"/>
      <c r="G36" s="378">
        <f>IF(X=0,(IF(Me=0,Sa,Me*Sa)),(IF(Me=0,Sa*X,Me*X*Sa)))</f>
        <v>0</v>
      </c>
      <c r="H36" s="375">
        <f>IF(Sum,Sos,0)</f>
        <v>0</v>
      </c>
      <c r="I36" s="376">
        <f>IF(Prosent&lt;&gt;0,(Sum*Prosent)/100,0)</f>
        <v>0</v>
      </c>
      <c r="J36" s="41"/>
      <c r="K36" s="367"/>
      <c r="L36" s="519">
        <f>IF(FMVA&lt;&gt;"",(IF(X=mva,(Sum/mva)*MVAsats%,Sum*MVAsats%)),"")</f>
      </c>
      <c r="M36" s="169"/>
      <c r="N36" s="199"/>
      <c r="O36" s="199"/>
    </row>
    <row r="37" spans="1:15" s="1" customFormat="1" ht="12.75">
      <c r="A37" s="224">
        <v>111016</v>
      </c>
      <c r="B37" s="8" t="s">
        <v>546</v>
      </c>
      <c r="C37" s="20"/>
      <c r="D37" s="67"/>
      <c r="E37" s="66"/>
      <c r="F37" s="92"/>
      <c r="G37" s="378">
        <f>IF(X=0,(IF(Me=0,Sa,Me*Sa)),(IF(Me=0,Sa*X,Me*X*Sa)))</f>
        <v>0</v>
      </c>
      <c r="H37" s="375">
        <f>IF(Sum,Sos,0)</f>
        <v>0</v>
      </c>
      <c r="I37" s="376">
        <f>IF(Prosent&lt;&gt;0,(Sum*Prosent)/100,0)</f>
        <v>0</v>
      </c>
      <c r="J37" s="41"/>
      <c r="K37" s="367"/>
      <c r="L37" s="519">
        <f>IF(FMVA&lt;&gt;"",(IF(X=mva,(Sum/mva)*MVAsats%,Sum*MVAsats%)),"")</f>
      </c>
      <c r="M37" s="169"/>
      <c r="N37" s="199"/>
      <c r="O37" s="199"/>
    </row>
    <row r="38" spans="1:15" s="1" customFormat="1" ht="12.75">
      <c r="A38" s="224">
        <v>111017</v>
      </c>
      <c r="B38" s="8" t="s">
        <v>547</v>
      </c>
      <c r="C38" s="20"/>
      <c r="D38" s="67"/>
      <c r="E38" s="66"/>
      <c r="F38" s="92"/>
      <c r="G38" s="378">
        <f>IF(X=0,(IF(Me=0,Sa,Me*Sa)),(IF(Me=0,Sa*X,Me*X*Sa)))</f>
        <v>0</v>
      </c>
      <c r="H38" s="375">
        <f>IF(Sum,Sos,0)</f>
        <v>0</v>
      </c>
      <c r="I38" s="376">
        <f>IF(Prosent&lt;&gt;0,(Sum*Prosent)/100,0)</f>
        <v>0</v>
      </c>
      <c r="J38" s="41"/>
      <c r="K38" s="367"/>
      <c r="L38" s="519">
        <f>IF(FMVA&lt;&gt;"",(IF(X=mva,(Sum/mva)*MVAsats%,Sum*MVAsats%)),"")</f>
      </c>
      <c r="M38" s="169"/>
      <c r="N38" s="199"/>
      <c r="O38" s="199"/>
    </row>
    <row r="39" spans="1:15" s="1" customFormat="1" ht="12.75">
      <c r="A39" s="224">
        <v>111110</v>
      </c>
      <c r="B39" s="8" t="s">
        <v>360</v>
      </c>
      <c r="C39" s="20"/>
      <c r="D39" s="67"/>
      <c r="E39" s="66"/>
      <c r="F39" s="92"/>
      <c r="G39" s="378">
        <f>IF(X=0,(IF(Me=0,Sa,Me*Sa)),(IF(Me=0,Sa*X,Me*X*Sa)))</f>
        <v>0</v>
      </c>
      <c r="H39" s="375">
        <f>IF(Sum,Sos,0)</f>
        <v>0</v>
      </c>
      <c r="I39" s="376">
        <f>IF(Prosent&lt;&gt;0,(Sum*Prosent)/100,0)</f>
        <v>0</v>
      </c>
      <c r="J39" s="41"/>
      <c r="K39" s="367"/>
      <c r="L39" s="519">
        <f>IF(FMVA&lt;&gt;"",(IF(X=mva,(Sum/mva)*MVAsats%,Sum*MVAsats%)),"")</f>
      </c>
      <c r="M39" s="169"/>
      <c r="N39" s="199"/>
      <c r="O39" s="199"/>
    </row>
    <row r="40" spans="1:15" s="1" customFormat="1" ht="12.75">
      <c r="A40" s="224">
        <v>111116</v>
      </c>
      <c r="B40" s="9" t="s">
        <v>200</v>
      </c>
      <c r="C40" s="20"/>
      <c r="D40" s="72"/>
      <c r="E40" s="72"/>
      <c r="F40" s="95"/>
      <c r="G40" s="378">
        <f>IF(X=0,(IF(Me=0,Sa,Me*Sa)),(IF(Me=0,Sa*X,Me*X*Sa)))</f>
        <v>0</v>
      </c>
      <c r="H40" s="375">
        <f>IF(Sum,Sos,0)</f>
        <v>0</v>
      </c>
      <c r="I40" s="376">
        <f>IF(Prosent&lt;&gt;0,(Sum*Prosent)/100,0)</f>
        <v>0</v>
      </c>
      <c r="J40" s="41"/>
      <c r="K40" s="367"/>
      <c r="L40" s="519">
        <f>IF(FMVA&lt;&gt;"",(IF(X=mva,(Sum/mva)*MVAsats%,Sum*MVAsats%)),"")</f>
      </c>
      <c r="M40" s="169"/>
      <c r="N40" s="199"/>
      <c r="O40" s="199"/>
    </row>
    <row r="41" spans="1:15" s="1" customFormat="1" ht="12.75">
      <c r="A41" s="224">
        <v>111120</v>
      </c>
      <c r="B41" s="9" t="s">
        <v>571</v>
      </c>
      <c r="C41" s="20"/>
      <c r="D41" s="72"/>
      <c r="E41" s="72"/>
      <c r="F41" s="95"/>
      <c r="G41" s="378">
        <f aca="true" t="shared" si="5" ref="G41:G66">IF(X=0,(IF(Me=0,Sa,Me*Sa)),(IF(Me=0,Sa*X,Me*X*Sa)))</f>
        <v>0</v>
      </c>
      <c r="H41" s="375">
        <f aca="true" t="shared" si="6" ref="H41:H66">IF(Sum,Sos,0)</f>
        <v>0</v>
      </c>
      <c r="I41" s="376">
        <f aca="true" t="shared" si="7" ref="I41:I66">IF(Prosent&lt;&gt;0,(Sum*Prosent)/100,0)</f>
        <v>0</v>
      </c>
      <c r="J41" s="41"/>
      <c r="K41" s="367"/>
      <c r="L41" s="520">
        <f aca="true" t="shared" si="8" ref="L41:L99">IF(FMVA&lt;&gt;"",(Sum*mva)-Sum,"")</f>
      </c>
      <c r="M41" s="169"/>
      <c r="N41" s="199"/>
      <c r="O41" s="199"/>
    </row>
    <row r="42" spans="1:15" s="1" customFormat="1" ht="12.75">
      <c r="A42" s="224">
        <v>111124</v>
      </c>
      <c r="B42" s="12" t="s">
        <v>613</v>
      </c>
      <c r="C42" s="20"/>
      <c r="D42" s="72"/>
      <c r="E42" s="72"/>
      <c r="F42" s="95"/>
      <c r="G42" s="378">
        <f t="shared" si="5"/>
        <v>0</v>
      </c>
      <c r="H42" s="375">
        <f t="shared" si="6"/>
        <v>0</v>
      </c>
      <c r="I42" s="376">
        <f t="shared" si="7"/>
        <v>0</v>
      </c>
      <c r="J42" s="41"/>
      <c r="K42" s="367"/>
      <c r="L42" s="520">
        <f t="shared" si="8"/>
      </c>
      <c r="M42" s="169"/>
      <c r="N42" s="199"/>
      <c r="O42" s="199"/>
    </row>
    <row r="43" spans="1:15" s="1" customFormat="1" ht="12.75">
      <c r="A43" s="224">
        <v>111125</v>
      </c>
      <c r="B43" s="9" t="s">
        <v>614</v>
      </c>
      <c r="C43" s="20"/>
      <c r="D43" s="55"/>
      <c r="E43" s="72"/>
      <c r="F43" s="381">
        <f>IF(D43=0,0,+G42)</f>
        <v>0</v>
      </c>
      <c r="G43" s="378">
        <f t="shared" si="5"/>
        <v>0</v>
      </c>
      <c r="H43" s="375">
        <f t="shared" si="6"/>
        <v>0</v>
      </c>
      <c r="I43" s="376">
        <f t="shared" si="7"/>
        <v>0</v>
      </c>
      <c r="J43" s="41"/>
      <c r="K43" s="367"/>
      <c r="L43" s="520">
        <f t="shared" si="8"/>
      </c>
      <c r="M43" s="169"/>
      <c r="N43" s="199"/>
      <c r="O43" s="199"/>
    </row>
    <row r="44" spans="1:15" s="1" customFormat="1" ht="12.75">
      <c r="A44" s="224">
        <v>111126</v>
      </c>
      <c r="B44" s="12" t="s">
        <v>572</v>
      </c>
      <c r="C44" s="20"/>
      <c r="D44" s="72"/>
      <c r="E44" s="72"/>
      <c r="F44" s="95"/>
      <c r="G44" s="378">
        <f t="shared" si="5"/>
        <v>0</v>
      </c>
      <c r="H44" s="375">
        <f t="shared" si="6"/>
        <v>0</v>
      </c>
      <c r="I44" s="376">
        <f t="shared" si="7"/>
        <v>0</v>
      </c>
      <c r="J44" s="41"/>
      <c r="K44" s="367"/>
      <c r="L44" s="520">
        <f t="shared" si="8"/>
      </c>
      <c r="M44" s="169"/>
      <c r="N44" s="199"/>
      <c r="O44" s="199"/>
    </row>
    <row r="45" spans="1:15" s="1" customFormat="1" ht="12.75">
      <c r="A45" s="224">
        <v>111127</v>
      </c>
      <c r="B45" s="9" t="s">
        <v>573</v>
      </c>
      <c r="C45" s="20"/>
      <c r="D45" s="55"/>
      <c r="E45" s="72"/>
      <c r="F45" s="381">
        <f>IF(D45=0,0,+G44)</f>
        <v>0</v>
      </c>
      <c r="G45" s="378">
        <f t="shared" si="5"/>
        <v>0</v>
      </c>
      <c r="H45" s="375">
        <f t="shared" si="6"/>
        <v>0</v>
      </c>
      <c r="I45" s="376">
        <f t="shared" si="7"/>
        <v>0</v>
      </c>
      <c r="J45" s="41"/>
      <c r="K45" s="367"/>
      <c r="L45" s="520">
        <f t="shared" si="8"/>
      </c>
      <c r="M45" s="169"/>
      <c r="N45" s="199"/>
      <c r="O45" s="199"/>
    </row>
    <row r="46" spans="1:15" s="1" customFormat="1" ht="12.75">
      <c r="A46" s="224">
        <v>111130</v>
      </c>
      <c r="B46" s="12" t="s">
        <v>429</v>
      </c>
      <c r="C46" s="20"/>
      <c r="D46" s="72"/>
      <c r="E46" s="72"/>
      <c r="F46" s="95"/>
      <c r="G46" s="378">
        <f t="shared" si="5"/>
        <v>0</v>
      </c>
      <c r="H46" s="375">
        <f t="shared" si="6"/>
        <v>0</v>
      </c>
      <c r="I46" s="376">
        <f t="shared" si="7"/>
        <v>0</v>
      </c>
      <c r="J46" s="41"/>
      <c r="K46" s="367"/>
      <c r="L46" s="520">
        <f t="shared" si="8"/>
      </c>
      <c r="M46" s="169"/>
      <c r="N46" s="199"/>
      <c r="O46" s="199"/>
    </row>
    <row r="47" spans="1:15" s="1" customFormat="1" ht="12.75">
      <c r="A47" s="224">
        <v>111131</v>
      </c>
      <c r="B47" s="9" t="s">
        <v>432</v>
      </c>
      <c r="C47" s="20"/>
      <c r="D47" s="55"/>
      <c r="E47" s="72"/>
      <c r="F47" s="381">
        <f>IF(D47=0,0,+G46)</f>
        <v>0</v>
      </c>
      <c r="G47" s="378">
        <f t="shared" si="5"/>
        <v>0</v>
      </c>
      <c r="H47" s="375">
        <f t="shared" si="6"/>
        <v>0</v>
      </c>
      <c r="I47" s="376">
        <f t="shared" si="7"/>
        <v>0</v>
      </c>
      <c r="J47" s="41"/>
      <c r="K47" s="367"/>
      <c r="L47" s="520">
        <f t="shared" si="8"/>
      </c>
      <c r="M47" s="169"/>
      <c r="N47" s="199"/>
      <c r="O47" s="199"/>
    </row>
    <row r="48" spans="1:15" s="1" customFormat="1" ht="12.75">
      <c r="A48" s="224">
        <v>111140</v>
      </c>
      <c r="B48" s="12" t="s">
        <v>775</v>
      </c>
      <c r="C48" s="20"/>
      <c r="D48" s="72"/>
      <c r="E48" s="72"/>
      <c r="F48" s="95"/>
      <c r="G48" s="378">
        <f t="shared" si="5"/>
        <v>0</v>
      </c>
      <c r="H48" s="375">
        <f t="shared" si="6"/>
        <v>0</v>
      </c>
      <c r="I48" s="376">
        <f t="shared" si="7"/>
        <v>0</v>
      </c>
      <c r="J48" s="41"/>
      <c r="K48" s="367"/>
      <c r="L48" s="520">
        <f t="shared" si="8"/>
      </c>
      <c r="M48" s="169"/>
      <c r="N48" s="199"/>
      <c r="O48" s="199"/>
    </row>
    <row r="49" spans="1:15" s="1" customFormat="1" ht="12.75">
      <c r="A49" s="224">
        <v>111141</v>
      </c>
      <c r="B49" s="9" t="s">
        <v>781</v>
      </c>
      <c r="C49" s="20"/>
      <c r="D49" s="55"/>
      <c r="E49" s="72"/>
      <c r="F49" s="381">
        <f>IF(D49=0,0,+G48)</f>
        <v>0</v>
      </c>
      <c r="G49" s="378">
        <f t="shared" si="5"/>
        <v>0</v>
      </c>
      <c r="H49" s="375">
        <f t="shared" si="6"/>
        <v>0</v>
      </c>
      <c r="I49" s="376">
        <f t="shared" si="7"/>
        <v>0</v>
      </c>
      <c r="J49" s="41"/>
      <c r="K49" s="367"/>
      <c r="L49" s="520">
        <f t="shared" si="8"/>
      </c>
      <c r="M49" s="169"/>
      <c r="N49" s="199"/>
      <c r="O49" s="199"/>
    </row>
    <row r="50" spans="1:15" s="1" customFormat="1" ht="12.75">
      <c r="A50" s="224">
        <v>111210</v>
      </c>
      <c r="B50" s="9" t="s">
        <v>576</v>
      </c>
      <c r="C50" s="20"/>
      <c r="D50" s="72"/>
      <c r="E50" s="72"/>
      <c r="F50" s="95"/>
      <c r="G50" s="378">
        <f t="shared" si="5"/>
        <v>0</v>
      </c>
      <c r="H50" s="375">
        <f t="shared" si="6"/>
        <v>0</v>
      </c>
      <c r="I50" s="376">
        <f t="shared" si="7"/>
        <v>0</v>
      </c>
      <c r="J50" s="41"/>
      <c r="K50" s="367"/>
      <c r="L50" s="520">
        <f t="shared" si="8"/>
      </c>
      <c r="M50" s="169"/>
      <c r="N50" s="199"/>
      <c r="O50" s="199"/>
    </row>
    <row r="51" spans="1:15" s="1" customFormat="1" ht="12.75">
      <c r="A51" s="224">
        <v>111214</v>
      </c>
      <c r="B51" s="9" t="s">
        <v>577</v>
      </c>
      <c r="C51" s="20"/>
      <c r="D51" s="72"/>
      <c r="E51" s="72"/>
      <c r="F51" s="95"/>
      <c r="G51" s="378">
        <f t="shared" si="5"/>
        <v>0</v>
      </c>
      <c r="H51" s="375">
        <f t="shared" si="6"/>
        <v>0</v>
      </c>
      <c r="I51" s="376">
        <f t="shared" si="7"/>
        <v>0</v>
      </c>
      <c r="J51" s="41"/>
      <c r="K51" s="367"/>
      <c r="L51" s="520">
        <f t="shared" si="8"/>
      </c>
      <c r="M51" s="169"/>
      <c r="N51" s="199"/>
      <c r="O51" s="199"/>
    </row>
    <row r="52" spans="1:15" s="1" customFormat="1" ht="12.75">
      <c r="A52" s="224">
        <v>111215</v>
      </c>
      <c r="B52" s="9" t="s">
        <v>578</v>
      </c>
      <c r="C52" s="20"/>
      <c r="D52" s="55"/>
      <c r="E52" s="72"/>
      <c r="F52" s="381">
        <f>IF(D52=0,0,+G51)</f>
        <v>0</v>
      </c>
      <c r="G52" s="378">
        <f t="shared" si="5"/>
        <v>0</v>
      </c>
      <c r="H52" s="375">
        <f t="shared" si="6"/>
        <v>0</v>
      </c>
      <c r="I52" s="376">
        <f t="shared" si="7"/>
        <v>0</v>
      </c>
      <c r="J52" s="41"/>
      <c r="K52" s="367"/>
      <c r="L52" s="520">
        <f t="shared" si="8"/>
      </c>
      <c r="M52" s="169"/>
      <c r="N52" s="199"/>
      <c r="O52" s="199"/>
    </row>
    <row r="53" spans="1:15" s="1" customFormat="1" ht="12.75">
      <c r="A53" s="224">
        <v>111310</v>
      </c>
      <c r="B53" s="12" t="s">
        <v>579</v>
      </c>
      <c r="C53" s="20"/>
      <c r="D53" s="72"/>
      <c r="E53" s="72"/>
      <c r="F53" s="95"/>
      <c r="G53" s="378">
        <f t="shared" si="5"/>
        <v>0</v>
      </c>
      <c r="H53" s="375">
        <f t="shared" si="6"/>
        <v>0</v>
      </c>
      <c r="I53" s="376">
        <f t="shared" si="7"/>
        <v>0</v>
      </c>
      <c r="J53" s="41"/>
      <c r="K53" s="367"/>
      <c r="L53" s="520">
        <f t="shared" si="8"/>
      </c>
      <c r="M53" s="169"/>
      <c r="N53" s="199"/>
      <c r="O53" s="199"/>
    </row>
    <row r="54" spans="1:15" s="1" customFormat="1" ht="12.75">
      <c r="A54" s="224">
        <v>111311</v>
      </c>
      <c r="B54" s="9" t="s">
        <v>580</v>
      </c>
      <c r="C54" s="20"/>
      <c r="D54" s="55"/>
      <c r="E54" s="72"/>
      <c r="F54" s="381">
        <f>IF(D54=0,0,+G53)</f>
        <v>0</v>
      </c>
      <c r="G54" s="378">
        <f t="shared" si="5"/>
        <v>0</v>
      </c>
      <c r="H54" s="375">
        <f t="shared" si="6"/>
        <v>0</v>
      </c>
      <c r="I54" s="376">
        <f t="shared" si="7"/>
        <v>0</v>
      </c>
      <c r="J54" s="41"/>
      <c r="K54" s="367"/>
      <c r="L54" s="520">
        <f t="shared" si="8"/>
      </c>
      <c r="M54" s="169"/>
      <c r="N54" s="199"/>
      <c r="O54" s="199"/>
    </row>
    <row r="55" spans="1:15" s="1" customFormat="1" ht="12.75">
      <c r="A55" s="224">
        <v>111610</v>
      </c>
      <c r="B55" s="12" t="s">
        <v>581</v>
      </c>
      <c r="C55" s="20"/>
      <c r="D55" s="72"/>
      <c r="E55" s="72"/>
      <c r="F55" s="95"/>
      <c r="G55" s="378">
        <f t="shared" si="5"/>
        <v>0</v>
      </c>
      <c r="H55" s="375">
        <f t="shared" si="6"/>
        <v>0</v>
      </c>
      <c r="I55" s="376">
        <f t="shared" si="7"/>
        <v>0</v>
      </c>
      <c r="J55" s="41"/>
      <c r="K55" s="367"/>
      <c r="L55" s="520">
        <f t="shared" si="8"/>
      </c>
      <c r="M55" s="169"/>
      <c r="N55" s="199"/>
      <c r="O55" s="199"/>
    </row>
    <row r="56" spans="1:15" s="1" customFormat="1" ht="12.75">
      <c r="A56" s="224">
        <v>111611</v>
      </c>
      <c r="B56" s="9" t="s">
        <v>583</v>
      </c>
      <c r="C56" s="20"/>
      <c r="D56" s="55"/>
      <c r="E56" s="72"/>
      <c r="F56" s="381">
        <f>IF(D56=0,0,+G55)</f>
        <v>0</v>
      </c>
      <c r="G56" s="378">
        <f t="shared" si="5"/>
        <v>0</v>
      </c>
      <c r="H56" s="375">
        <f t="shared" si="6"/>
        <v>0</v>
      </c>
      <c r="I56" s="376">
        <f t="shared" si="7"/>
        <v>0</v>
      </c>
      <c r="J56" s="41"/>
      <c r="K56" s="367"/>
      <c r="L56" s="520">
        <f t="shared" si="8"/>
      </c>
      <c r="M56" s="169"/>
      <c r="N56" s="199"/>
      <c r="O56" s="199"/>
    </row>
    <row r="57" spans="1:15" s="1" customFormat="1" ht="12.75">
      <c r="A57" s="224">
        <v>111810</v>
      </c>
      <c r="B57" s="9" t="s">
        <v>584</v>
      </c>
      <c r="C57" s="20"/>
      <c r="D57" s="72"/>
      <c r="E57" s="72"/>
      <c r="F57" s="95"/>
      <c r="G57" s="378">
        <f t="shared" si="5"/>
        <v>0</v>
      </c>
      <c r="H57" s="375">
        <f t="shared" si="6"/>
        <v>0</v>
      </c>
      <c r="I57" s="376">
        <f t="shared" si="7"/>
        <v>0</v>
      </c>
      <c r="J57" s="41"/>
      <c r="K57" s="367"/>
      <c r="L57" s="520">
        <f t="shared" si="8"/>
      </c>
      <c r="M57" s="169"/>
      <c r="N57" s="199"/>
      <c r="O57" s="199"/>
    </row>
    <row r="58" spans="1:15" s="1" customFormat="1" ht="12.75">
      <c r="A58" s="224">
        <v>111811</v>
      </c>
      <c r="B58" s="9" t="s">
        <v>585</v>
      </c>
      <c r="C58" s="20"/>
      <c r="D58" s="55"/>
      <c r="E58" s="72"/>
      <c r="F58" s="381">
        <f>IF(D58=0,0,+G57)</f>
        <v>0</v>
      </c>
      <c r="G58" s="378">
        <f t="shared" si="5"/>
        <v>0</v>
      </c>
      <c r="H58" s="375">
        <f t="shared" si="6"/>
        <v>0</v>
      </c>
      <c r="I58" s="376">
        <f t="shared" si="7"/>
        <v>0</v>
      </c>
      <c r="J58" s="41"/>
      <c r="K58" s="367"/>
      <c r="L58" s="520">
        <f t="shared" si="8"/>
      </c>
      <c r="M58" s="169"/>
      <c r="N58" s="199"/>
      <c r="O58" s="199"/>
    </row>
    <row r="59" spans="1:15" s="1" customFormat="1" ht="12.75">
      <c r="A59" s="224">
        <v>113210</v>
      </c>
      <c r="B59" s="9" t="s">
        <v>586</v>
      </c>
      <c r="C59" s="20"/>
      <c r="D59" s="72"/>
      <c r="E59" s="72"/>
      <c r="F59" s="95"/>
      <c r="G59" s="378">
        <f t="shared" si="5"/>
        <v>0</v>
      </c>
      <c r="H59" s="375">
        <f t="shared" si="6"/>
        <v>0</v>
      </c>
      <c r="I59" s="376">
        <f t="shared" si="7"/>
        <v>0</v>
      </c>
      <c r="J59" s="41"/>
      <c r="K59" s="367"/>
      <c r="L59" s="520">
        <f t="shared" si="8"/>
      </c>
      <c r="M59" s="169"/>
      <c r="N59" s="199"/>
      <c r="O59" s="199"/>
    </row>
    <row r="60" spans="1:15" s="1" customFormat="1" ht="12.75">
      <c r="A60" s="224">
        <v>113211</v>
      </c>
      <c r="B60" s="12" t="s">
        <v>587</v>
      </c>
      <c r="C60" s="20"/>
      <c r="D60" s="55"/>
      <c r="E60" s="72"/>
      <c r="F60" s="381">
        <f>IF(D60=0,0,+G59)</f>
        <v>0</v>
      </c>
      <c r="G60" s="378">
        <f t="shared" si="5"/>
        <v>0</v>
      </c>
      <c r="H60" s="375">
        <f t="shared" si="6"/>
        <v>0</v>
      </c>
      <c r="I60" s="376">
        <f t="shared" si="7"/>
        <v>0</v>
      </c>
      <c r="J60" s="41"/>
      <c r="K60" s="367"/>
      <c r="L60" s="520">
        <f t="shared" si="8"/>
      </c>
      <c r="M60" s="169"/>
      <c r="N60" s="199"/>
      <c r="O60" s="199"/>
    </row>
    <row r="61" spans="1:15" s="1" customFormat="1" ht="12.75">
      <c r="A61" s="224">
        <v>114010</v>
      </c>
      <c r="B61" s="9" t="s">
        <v>550</v>
      </c>
      <c r="C61" s="20"/>
      <c r="D61" s="72"/>
      <c r="E61" s="72"/>
      <c r="F61" s="95"/>
      <c r="G61" s="378">
        <f t="shared" si="5"/>
        <v>0</v>
      </c>
      <c r="H61" s="375">
        <f t="shared" si="6"/>
        <v>0</v>
      </c>
      <c r="I61" s="376">
        <f t="shared" si="7"/>
        <v>0</v>
      </c>
      <c r="J61" s="41"/>
      <c r="K61" s="367"/>
      <c r="L61" s="520">
        <f t="shared" si="8"/>
      </c>
      <c r="M61" s="169"/>
      <c r="N61" s="199"/>
      <c r="O61" s="199"/>
    </row>
    <row r="62" spans="1:15" s="1" customFormat="1" ht="12.75">
      <c r="A62" s="224">
        <v>114014</v>
      </c>
      <c r="B62" s="9" t="s">
        <v>588</v>
      </c>
      <c r="C62" s="20"/>
      <c r="D62" s="72"/>
      <c r="E62" s="72"/>
      <c r="F62" s="95"/>
      <c r="G62" s="378">
        <f t="shared" si="5"/>
        <v>0</v>
      </c>
      <c r="H62" s="375">
        <f t="shared" si="6"/>
        <v>0</v>
      </c>
      <c r="I62" s="376">
        <f t="shared" si="7"/>
        <v>0</v>
      </c>
      <c r="J62" s="41"/>
      <c r="K62" s="367"/>
      <c r="L62" s="520">
        <f t="shared" si="8"/>
      </c>
      <c r="M62" s="169"/>
      <c r="N62" s="199"/>
      <c r="O62" s="199"/>
    </row>
    <row r="63" spans="1:15" s="1" customFormat="1" ht="12.75">
      <c r="A63" s="224">
        <v>114015</v>
      </c>
      <c r="B63" s="9" t="s">
        <v>589</v>
      </c>
      <c r="C63" s="20"/>
      <c r="D63" s="55"/>
      <c r="E63" s="72"/>
      <c r="F63" s="381">
        <f>IF(D63=0,0,+G62)</f>
        <v>0</v>
      </c>
      <c r="G63" s="378">
        <f t="shared" si="5"/>
        <v>0</v>
      </c>
      <c r="H63" s="375">
        <f t="shared" si="6"/>
        <v>0</v>
      </c>
      <c r="I63" s="376">
        <f t="shared" si="7"/>
        <v>0</v>
      </c>
      <c r="J63" s="41"/>
      <c r="K63" s="367"/>
      <c r="L63" s="520">
        <f t="shared" si="8"/>
      </c>
      <c r="M63" s="169"/>
      <c r="N63" s="199"/>
      <c r="O63" s="199"/>
    </row>
    <row r="64" spans="1:15" s="1" customFormat="1" ht="12.75">
      <c r="A64" s="224">
        <v>114090</v>
      </c>
      <c r="B64" s="9" t="s">
        <v>552</v>
      </c>
      <c r="C64" s="20"/>
      <c r="D64" s="72"/>
      <c r="E64" s="72"/>
      <c r="F64" s="95"/>
      <c r="G64" s="378">
        <f t="shared" si="5"/>
        <v>0</v>
      </c>
      <c r="H64" s="375">
        <f t="shared" si="6"/>
        <v>0</v>
      </c>
      <c r="I64" s="376">
        <f t="shared" si="7"/>
        <v>0</v>
      </c>
      <c r="J64" s="41"/>
      <c r="K64" s="367"/>
      <c r="L64" s="520">
        <f t="shared" si="8"/>
      </c>
      <c r="M64" s="169"/>
      <c r="N64" s="199"/>
      <c r="O64" s="199"/>
    </row>
    <row r="65" spans="1:15" s="1" customFormat="1" ht="12.75">
      <c r="A65" s="224">
        <v>114091</v>
      </c>
      <c r="B65" s="9" t="s">
        <v>553</v>
      </c>
      <c r="C65" s="20"/>
      <c r="D65" s="55"/>
      <c r="E65" s="72"/>
      <c r="F65" s="381">
        <f>IF(D65=0,0,+G64)</f>
        <v>0</v>
      </c>
      <c r="G65" s="378">
        <f t="shared" si="5"/>
        <v>0</v>
      </c>
      <c r="H65" s="375">
        <f t="shared" si="6"/>
        <v>0</v>
      </c>
      <c r="I65" s="376">
        <f t="shared" si="7"/>
        <v>0</v>
      </c>
      <c r="J65" s="41"/>
      <c r="K65" s="367"/>
      <c r="L65" s="520">
        <f t="shared" si="8"/>
      </c>
      <c r="M65" s="169"/>
      <c r="N65" s="199"/>
      <c r="O65" s="199"/>
    </row>
    <row r="66" spans="1:15" s="1" customFormat="1" ht="12.75">
      <c r="A66" s="224">
        <v>114092</v>
      </c>
      <c r="B66" s="9" t="s">
        <v>590</v>
      </c>
      <c r="C66" s="20"/>
      <c r="D66" s="72"/>
      <c r="E66" s="72"/>
      <c r="F66" s="95"/>
      <c r="G66" s="378">
        <f t="shared" si="5"/>
        <v>0</v>
      </c>
      <c r="H66" s="375">
        <f t="shared" si="6"/>
        <v>0</v>
      </c>
      <c r="I66" s="376">
        <f t="shared" si="7"/>
        <v>0</v>
      </c>
      <c r="J66" s="41"/>
      <c r="K66" s="367"/>
      <c r="L66" s="520">
        <f t="shared" si="8"/>
      </c>
      <c r="M66" s="169"/>
      <c r="N66" s="199"/>
      <c r="O66" s="199"/>
    </row>
    <row r="67" spans="1:15" s="1" customFormat="1" ht="12.75">
      <c r="A67" s="224">
        <v>114095</v>
      </c>
      <c r="B67" s="9" t="s">
        <v>554</v>
      </c>
      <c r="C67" s="20"/>
      <c r="D67" s="73"/>
      <c r="E67" s="73"/>
      <c r="F67" s="94"/>
      <c r="G67" s="378">
        <f>SUM(I36:I66)</f>
        <v>0</v>
      </c>
      <c r="H67" s="38"/>
      <c r="I67" s="39" t="s">
        <v>555</v>
      </c>
      <c r="J67" s="39"/>
      <c r="K67" s="572"/>
      <c r="L67" s="520"/>
      <c r="M67" s="169"/>
      <c r="N67" s="199"/>
      <c r="O67" s="199"/>
    </row>
    <row r="68" spans="1:15" s="1" customFormat="1" ht="12.75">
      <c r="A68" s="224">
        <v>116110</v>
      </c>
      <c r="B68" s="9" t="s">
        <v>591</v>
      </c>
      <c r="C68" s="20"/>
      <c r="D68" s="72"/>
      <c r="E68" s="72"/>
      <c r="F68" s="95"/>
      <c r="G68" s="378">
        <f aca="true" t="shared" si="9" ref="G68:G99">IF(X=0,(IF(Me=0,Sa,Me*Sa)),(IF(Me=0,Sa*X,Me*X*Sa)))</f>
        <v>0</v>
      </c>
      <c r="H68" s="38"/>
      <c r="I68" s="41"/>
      <c r="J68" s="41"/>
      <c r="K68" s="367"/>
      <c r="L68" s="520">
        <f t="shared" si="8"/>
      </c>
      <c r="M68" s="169"/>
      <c r="N68" s="199"/>
      <c r="O68" s="199"/>
    </row>
    <row r="69" spans="1:15" s="1" customFormat="1" ht="12.75">
      <c r="A69" s="224">
        <v>116111</v>
      </c>
      <c r="B69" s="9" t="s">
        <v>592</v>
      </c>
      <c r="C69" s="20"/>
      <c r="D69" s="72"/>
      <c r="E69" s="72"/>
      <c r="F69" s="95"/>
      <c r="G69" s="378">
        <f t="shared" si="9"/>
        <v>0</v>
      </c>
      <c r="H69" s="38"/>
      <c r="I69" s="41"/>
      <c r="J69" s="41"/>
      <c r="K69" s="367"/>
      <c r="L69" s="520">
        <f t="shared" si="8"/>
      </c>
      <c r="M69" s="169"/>
      <c r="N69" s="199"/>
      <c r="O69" s="199"/>
    </row>
    <row r="70" spans="1:15" s="1" customFormat="1" ht="12.75">
      <c r="A70" s="224">
        <v>118610</v>
      </c>
      <c r="B70" s="9" t="s">
        <v>363</v>
      </c>
      <c r="C70" s="20"/>
      <c r="D70" s="72"/>
      <c r="E70" s="72"/>
      <c r="F70" s="95"/>
      <c r="G70" s="378">
        <f t="shared" si="9"/>
        <v>0</v>
      </c>
      <c r="H70" s="38"/>
      <c r="I70" s="41"/>
      <c r="J70" s="41"/>
      <c r="K70" s="367"/>
      <c r="L70" s="520">
        <f t="shared" si="8"/>
      </c>
      <c r="M70" s="169"/>
      <c r="N70" s="199"/>
      <c r="O70" s="199"/>
    </row>
    <row r="71" spans="1:15" s="1" customFormat="1" ht="12.75">
      <c r="A71" s="224">
        <v>118620</v>
      </c>
      <c r="B71" s="9" t="s">
        <v>654</v>
      </c>
      <c r="C71" s="20"/>
      <c r="D71" s="72"/>
      <c r="E71" s="72"/>
      <c r="F71" s="95"/>
      <c r="G71" s="378">
        <f t="shared" si="9"/>
        <v>0</v>
      </c>
      <c r="H71" s="38"/>
      <c r="I71" s="43"/>
      <c r="J71" s="43"/>
      <c r="K71" s="367"/>
      <c r="L71" s="520">
        <f t="shared" si="8"/>
      </c>
      <c r="M71" s="169"/>
      <c r="N71" s="199"/>
      <c r="O71" s="199"/>
    </row>
    <row r="72" spans="1:15" s="1" customFormat="1" ht="12.75">
      <c r="A72" s="224">
        <v>118621</v>
      </c>
      <c r="B72" s="9" t="s">
        <v>364</v>
      </c>
      <c r="C72" s="20"/>
      <c r="D72" s="72"/>
      <c r="E72" s="72"/>
      <c r="F72" s="95"/>
      <c r="G72" s="378">
        <f t="shared" si="9"/>
        <v>0</v>
      </c>
      <c r="H72" s="38"/>
      <c r="I72" s="41"/>
      <c r="J72" s="41"/>
      <c r="K72" s="367"/>
      <c r="L72" s="520">
        <f t="shared" si="8"/>
      </c>
      <c r="M72" s="169"/>
      <c r="N72" s="199"/>
      <c r="O72" s="199"/>
    </row>
    <row r="73" spans="1:15" s="1" customFormat="1" ht="12.75">
      <c r="A73" s="224">
        <v>118622</v>
      </c>
      <c r="B73" s="9" t="s">
        <v>593</v>
      </c>
      <c r="C73" s="20"/>
      <c r="D73" s="72"/>
      <c r="E73" s="72"/>
      <c r="F73" s="95"/>
      <c r="G73" s="378">
        <f t="shared" si="9"/>
        <v>0</v>
      </c>
      <c r="H73" s="38"/>
      <c r="I73" s="43"/>
      <c r="J73" s="43"/>
      <c r="K73" s="367"/>
      <c r="L73" s="520">
        <f t="shared" si="8"/>
      </c>
      <c r="M73" s="169"/>
      <c r="N73" s="199"/>
      <c r="O73" s="199"/>
    </row>
    <row r="74" spans="1:15" s="1" customFormat="1" ht="12.75">
      <c r="A74" s="224">
        <v>119010</v>
      </c>
      <c r="B74" s="9" t="s">
        <v>556</v>
      </c>
      <c r="C74" s="20"/>
      <c r="D74" s="72"/>
      <c r="E74" s="72"/>
      <c r="F74" s="95"/>
      <c r="G74" s="378">
        <f t="shared" si="9"/>
        <v>0</v>
      </c>
      <c r="H74" s="38"/>
      <c r="I74" s="41"/>
      <c r="J74" s="41"/>
      <c r="K74" s="367"/>
      <c r="L74" s="520">
        <f t="shared" si="8"/>
      </c>
      <c r="M74" s="169"/>
      <c r="N74" s="199"/>
      <c r="O74" s="199"/>
    </row>
    <row r="75" spans="1:15" s="1" customFormat="1" ht="12.75">
      <c r="A75" s="224">
        <v>119013</v>
      </c>
      <c r="B75" s="9" t="s">
        <v>557</v>
      </c>
      <c r="C75" s="20"/>
      <c r="D75" s="72"/>
      <c r="E75" s="72"/>
      <c r="F75" s="95"/>
      <c r="G75" s="378">
        <f t="shared" si="9"/>
        <v>0</v>
      </c>
      <c r="H75" s="38"/>
      <c r="I75" s="41"/>
      <c r="J75" s="41"/>
      <c r="K75" s="367"/>
      <c r="L75" s="520">
        <f t="shared" si="8"/>
      </c>
      <c r="M75" s="169"/>
      <c r="N75" s="199"/>
      <c r="O75" s="199"/>
    </row>
    <row r="76" spans="1:15" s="1" customFormat="1" ht="12.75">
      <c r="A76" s="224">
        <v>119022</v>
      </c>
      <c r="B76" s="9" t="s">
        <v>558</v>
      </c>
      <c r="C76" s="20"/>
      <c r="D76" s="72"/>
      <c r="E76" s="72"/>
      <c r="F76" s="95"/>
      <c r="G76" s="378">
        <f t="shared" si="9"/>
        <v>0</v>
      </c>
      <c r="H76" s="38"/>
      <c r="I76" s="41"/>
      <c r="J76" s="41"/>
      <c r="K76" s="367"/>
      <c r="L76" s="520">
        <f t="shared" si="8"/>
      </c>
      <c r="M76" s="169"/>
      <c r="N76" s="199"/>
      <c r="O76" s="199"/>
    </row>
    <row r="77" spans="1:15" s="1" customFormat="1" ht="12.75">
      <c r="A77" s="224">
        <v>119025</v>
      </c>
      <c r="B77" s="9" t="s">
        <v>560</v>
      </c>
      <c r="C77" s="20"/>
      <c r="D77" s="72"/>
      <c r="E77" s="72"/>
      <c r="F77" s="95"/>
      <c r="G77" s="378">
        <f t="shared" si="9"/>
        <v>0</v>
      </c>
      <c r="H77" s="38"/>
      <c r="I77" s="41"/>
      <c r="J77" s="41"/>
      <c r="K77" s="367"/>
      <c r="L77" s="520">
        <f t="shared" si="8"/>
      </c>
      <c r="M77" s="169"/>
      <c r="N77" s="199"/>
      <c r="O77" s="199"/>
    </row>
    <row r="78" spans="1:15" s="1" customFormat="1" ht="12.75">
      <c r="A78" s="224">
        <v>119029</v>
      </c>
      <c r="B78" s="9" t="s">
        <v>561</v>
      </c>
      <c r="C78" s="20"/>
      <c r="D78" s="72"/>
      <c r="E78" s="72"/>
      <c r="F78" s="95"/>
      <c r="G78" s="378">
        <f t="shared" si="9"/>
        <v>0</v>
      </c>
      <c r="H78" s="38"/>
      <c r="I78" s="41"/>
      <c r="J78" s="41"/>
      <c r="K78" s="367"/>
      <c r="L78" s="520">
        <f t="shared" si="8"/>
      </c>
      <c r="M78" s="169"/>
      <c r="N78" s="199"/>
      <c r="O78" s="199"/>
    </row>
    <row r="79" spans="1:15" s="1" customFormat="1" ht="12.75">
      <c r="A79" s="224">
        <v>119030</v>
      </c>
      <c r="B79" s="9" t="s">
        <v>594</v>
      </c>
      <c r="C79" s="20"/>
      <c r="D79" s="72"/>
      <c r="E79" s="72"/>
      <c r="F79" s="95"/>
      <c r="G79" s="378">
        <f t="shared" si="9"/>
        <v>0</v>
      </c>
      <c r="H79" s="38"/>
      <c r="I79" s="41"/>
      <c r="J79" s="41"/>
      <c r="K79" s="367"/>
      <c r="L79" s="520">
        <f t="shared" si="8"/>
      </c>
      <c r="M79" s="169"/>
      <c r="N79" s="199"/>
      <c r="O79" s="199"/>
    </row>
    <row r="80" spans="1:15" s="1" customFormat="1" ht="12.75">
      <c r="A80" s="224">
        <v>119040</v>
      </c>
      <c r="B80" s="9" t="s">
        <v>769</v>
      </c>
      <c r="C80" s="20"/>
      <c r="D80" s="72"/>
      <c r="E80" s="72"/>
      <c r="F80" s="95"/>
      <c r="G80" s="378">
        <f t="shared" si="9"/>
        <v>0</v>
      </c>
      <c r="H80" s="38"/>
      <c r="I80" s="41"/>
      <c r="J80" s="41"/>
      <c r="K80" s="367"/>
      <c r="L80" s="520">
        <f t="shared" si="8"/>
      </c>
      <c r="M80" s="169"/>
      <c r="N80" s="199"/>
      <c r="O80" s="199"/>
    </row>
    <row r="81" spans="1:15" s="1" customFormat="1" ht="12.75">
      <c r="A81" s="224">
        <v>119042</v>
      </c>
      <c r="B81" s="9" t="s">
        <v>596</v>
      </c>
      <c r="C81" s="20"/>
      <c r="D81" s="72"/>
      <c r="E81" s="72"/>
      <c r="F81" s="95"/>
      <c r="G81" s="378">
        <f t="shared" si="9"/>
        <v>0</v>
      </c>
      <c r="H81" s="38"/>
      <c r="I81" s="41"/>
      <c r="J81" s="41"/>
      <c r="K81" s="367"/>
      <c r="L81" s="520">
        <f t="shared" si="8"/>
      </c>
      <c r="M81" s="169"/>
      <c r="N81" s="199"/>
      <c r="O81" s="199"/>
    </row>
    <row r="82" spans="1:15" s="1" customFormat="1" ht="12.75">
      <c r="A82" s="224">
        <v>119044</v>
      </c>
      <c r="B82" s="9" t="s">
        <v>597</v>
      </c>
      <c r="C82" s="20"/>
      <c r="D82" s="72"/>
      <c r="E82" s="72"/>
      <c r="F82" s="95"/>
      <c r="G82" s="378">
        <f t="shared" si="9"/>
        <v>0</v>
      </c>
      <c r="H82" s="38"/>
      <c r="I82" s="41"/>
      <c r="J82" s="41"/>
      <c r="K82" s="367"/>
      <c r="L82" s="520">
        <f t="shared" si="8"/>
      </c>
      <c r="M82" s="169"/>
      <c r="N82" s="199"/>
      <c r="O82" s="199"/>
    </row>
    <row r="83" spans="1:15" s="1" customFormat="1" ht="12.75">
      <c r="A83" s="224">
        <v>119060</v>
      </c>
      <c r="B83" s="9" t="s">
        <v>562</v>
      </c>
      <c r="C83" s="20"/>
      <c r="D83" s="72"/>
      <c r="E83" s="72"/>
      <c r="F83" s="95"/>
      <c r="G83" s="378">
        <f t="shared" si="9"/>
        <v>0</v>
      </c>
      <c r="H83" s="38"/>
      <c r="I83" s="41"/>
      <c r="J83" s="41"/>
      <c r="K83" s="367"/>
      <c r="L83" s="520">
        <f t="shared" si="8"/>
      </c>
      <c r="M83" s="169"/>
      <c r="N83" s="199"/>
      <c r="O83" s="199"/>
    </row>
    <row r="84" spans="1:15" s="1" customFormat="1" ht="12.75" customHeight="1">
      <c r="A84" s="224">
        <v>119061</v>
      </c>
      <c r="B84" s="151" t="s">
        <v>563</v>
      </c>
      <c r="C84" s="20"/>
      <c r="D84" s="152"/>
      <c r="E84" s="152"/>
      <c r="F84" s="153"/>
      <c r="G84" s="382">
        <f t="shared" si="9"/>
        <v>0</v>
      </c>
      <c r="H84" s="38"/>
      <c r="I84" s="41"/>
      <c r="J84" s="41"/>
      <c r="K84" s="367"/>
      <c r="L84" s="520">
        <f t="shared" si="8"/>
      </c>
      <c r="M84" s="169"/>
      <c r="N84" s="199"/>
      <c r="O84" s="199"/>
    </row>
    <row r="85" spans="1:15" s="1" customFormat="1" ht="12.75" customHeight="1">
      <c r="A85" s="224">
        <v>119069</v>
      </c>
      <c r="B85" s="151" t="s">
        <v>564</v>
      </c>
      <c r="C85" s="20" t="s">
        <v>416</v>
      </c>
      <c r="D85" s="152"/>
      <c r="E85" s="152"/>
      <c r="F85" s="153"/>
      <c r="G85" s="382">
        <f t="shared" si="9"/>
        <v>0</v>
      </c>
      <c r="H85" s="38"/>
      <c r="I85" s="41"/>
      <c r="J85" s="41"/>
      <c r="K85" s="367"/>
      <c r="L85" s="520">
        <f t="shared" si="8"/>
      </c>
      <c r="M85" s="169"/>
      <c r="N85" s="199"/>
      <c r="O85" s="199"/>
    </row>
    <row r="86" spans="1:15" s="1" customFormat="1" ht="12.75" customHeight="1">
      <c r="A86" s="224">
        <v>119070</v>
      </c>
      <c r="B86" s="151" t="s">
        <v>565</v>
      </c>
      <c r="C86" s="20"/>
      <c r="D86" s="152"/>
      <c r="E86" s="152"/>
      <c r="F86" s="153"/>
      <c r="G86" s="382">
        <f t="shared" si="9"/>
        <v>0</v>
      </c>
      <c r="H86" s="38"/>
      <c r="I86" s="41"/>
      <c r="J86" s="41"/>
      <c r="K86" s="367"/>
      <c r="L86" s="520">
        <f t="shared" si="8"/>
      </c>
      <c r="M86" s="169"/>
      <c r="N86" s="199"/>
      <c r="O86" s="199"/>
    </row>
    <row r="87" spans="1:15" s="1" customFormat="1" ht="12.75" customHeight="1">
      <c r="A87" s="224">
        <v>119072</v>
      </c>
      <c r="B87" s="151" t="s">
        <v>566</v>
      </c>
      <c r="C87" s="20"/>
      <c r="D87" s="152"/>
      <c r="E87" s="152"/>
      <c r="F87" s="153"/>
      <c r="G87" s="382">
        <f t="shared" si="9"/>
        <v>0</v>
      </c>
      <c r="H87" s="38"/>
      <c r="I87" s="41"/>
      <c r="J87" s="41"/>
      <c r="K87" s="367"/>
      <c r="L87" s="520">
        <f t="shared" si="8"/>
      </c>
      <c r="M87" s="169"/>
      <c r="N87" s="199"/>
      <c r="O87" s="199"/>
    </row>
    <row r="88" spans="1:15" s="1" customFormat="1" ht="12.75" customHeight="1">
      <c r="A88" s="224">
        <v>119073</v>
      </c>
      <c r="B88" s="151" t="s">
        <v>567</v>
      </c>
      <c r="C88" s="150"/>
      <c r="D88" s="152"/>
      <c r="E88" s="152"/>
      <c r="F88" s="153"/>
      <c r="G88" s="382">
        <f t="shared" si="9"/>
        <v>0</v>
      </c>
      <c r="H88" s="38"/>
      <c r="I88" s="41"/>
      <c r="J88" s="41"/>
      <c r="K88" s="367"/>
      <c r="L88" s="520">
        <f t="shared" si="8"/>
      </c>
      <c r="M88" s="169"/>
      <c r="N88" s="199"/>
      <c r="O88" s="199"/>
    </row>
    <row r="89" spans="1:15" s="1" customFormat="1" ht="12.75" customHeight="1">
      <c r="A89" s="224">
        <v>119077</v>
      </c>
      <c r="B89" s="151" t="s">
        <v>598</v>
      </c>
      <c r="C89" s="150"/>
      <c r="D89" s="152"/>
      <c r="E89" s="152"/>
      <c r="F89" s="153"/>
      <c r="G89" s="382">
        <f t="shared" si="9"/>
        <v>0</v>
      </c>
      <c r="H89" s="38"/>
      <c r="I89" s="41"/>
      <c r="J89" s="41"/>
      <c r="K89" s="367"/>
      <c r="L89" s="520">
        <f t="shared" si="8"/>
      </c>
      <c r="M89" s="169"/>
      <c r="N89" s="199"/>
      <c r="O89" s="199"/>
    </row>
    <row r="90" spans="1:15" s="1" customFormat="1" ht="12.75" customHeight="1">
      <c r="A90" s="224">
        <v>119078</v>
      </c>
      <c r="B90" s="151" t="s">
        <v>568</v>
      </c>
      <c r="C90" s="20"/>
      <c r="D90" s="152"/>
      <c r="E90" s="152"/>
      <c r="F90" s="153"/>
      <c r="G90" s="382">
        <f t="shared" si="9"/>
        <v>0</v>
      </c>
      <c r="H90" s="38"/>
      <c r="I90" s="41"/>
      <c r="J90" s="41"/>
      <c r="K90" s="367"/>
      <c r="L90" s="520">
        <f t="shared" si="8"/>
      </c>
      <c r="M90" s="169"/>
      <c r="N90" s="199"/>
      <c r="O90" s="199"/>
    </row>
    <row r="91" spans="1:15" s="1" customFormat="1" ht="12.75" customHeight="1">
      <c r="A91" s="224">
        <v>119081</v>
      </c>
      <c r="B91" s="151" t="s">
        <v>599</v>
      </c>
      <c r="C91" s="150"/>
      <c r="D91" s="152"/>
      <c r="E91" s="152"/>
      <c r="F91" s="153"/>
      <c r="G91" s="382">
        <f t="shared" si="9"/>
        <v>0</v>
      </c>
      <c r="H91" s="38"/>
      <c r="I91" s="41"/>
      <c r="J91" s="41"/>
      <c r="K91" s="367"/>
      <c r="L91" s="520">
        <f t="shared" si="8"/>
      </c>
      <c r="M91" s="169"/>
      <c r="N91" s="199"/>
      <c r="O91" s="199"/>
    </row>
    <row r="92" spans="1:15" s="1" customFormat="1" ht="12.75" customHeight="1">
      <c r="A92" s="224">
        <v>119082</v>
      </c>
      <c r="B92" s="151" t="s">
        <v>600</v>
      </c>
      <c r="C92" s="150"/>
      <c r="D92" s="152"/>
      <c r="E92" s="152"/>
      <c r="F92" s="153"/>
      <c r="G92" s="382">
        <f t="shared" si="9"/>
        <v>0</v>
      </c>
      <c r="H92" s="38"/>
      <c r="K92" s="367"/>
      <c r="L92" s="520">
        <f t="shared" si="8"/>
      </c>
      <c r="M92" s="169"/>
      <c r="N92" s="199"/>
      <c r="O92" s="199"/>
    </row>
    <row r="93" spans="1:15" s="1" customFormat="1" ht="12.75" customHeight="1">
      <c r="A93" s="224">
        <v>119083</v>
      </c>
      <c r="B93" s="151" t="s">
        <v>601</v>
      </c>
      <c r="C93" s="150"/>
      <c r="D93" s="152"/>
      <c r="E93" s="152"/>
      <c r="F93" s="153"/>
      <c r="G93" s="382">
        <f t="shared" si="9"/>
        <v>0</v>
      </c>
      <c r="H93" s="38"/>
      <c r="I93" s="41"/>
      <c r="J93" s="41"/>
      <c r="K93" s="367"/>
      <c r="L93" s="520">
        <f t="shared" si="8"/>
      </c>
      <c r="M93" s="169"/>
      <c r="N93" s="199"/>
      <c r="O93" s="199"/>
    </row>
    <row r="94" spans="1:15" s="1" customFormat="1" ht="12.75" customHeight="1">
      <c r="A94" s="224">
        <v>119084</v>
      </c>
      <c r="B94" s="151" t="s">
        <v>602</v>
      </c>
      <c r="C94" s="150"/>
      <c r="D94" s="152"/>
      <c r="E94" s="152"/>
      <c r="F94" s="153"/>
      <c r="G94" s="382">
        <f t="shared" si="9"/>
        <v>0</v>
      </c>
      <c r="H94" s="38"/>
      <c r="I94" s="41"/>
      <c r="J94" s="41"/>
      <c r="K94" s="367"/>
      <c r="L94" s="520">
        <f t="shared" si="8"/>
      </c>
      <c r="M94" s="169"/>
      <c r="N94" s="199"/>
      <c r="O94" s="199"/>
    </row>
    <row r="95" spans="1:15" s="1" customFormat="1" ht="12.75" customHeight="1">
      <c r="A95" s="224">
        <v>119085</v>
      </c>
      <c r="B95" s="151" t="s">
        <v>603</v>
      </c>
      <c r="C95" s="150"/>
      <c r="D95" s="152"/>
      <c r="E95" s="152"/>
      <c r="F95" s="153"/>
      <c r="G95" s="382">
        <f t="shared" si="9"/>
        <v>0</v>
      </c>
      <c r="H95" s="38"/>
      <c r="I95" s="41"/>
      <c r="J95" s="41"/>
      <c r="K95" s="367"/>
      <c r="L95" s="520">
        <f t="shared" si="8"/>
      </c>
      <c r="M95" s="169"/>
      <c r="N95" s="199"/>
      <c r="O95" s="199"/>
    </row>
    <row r="96" spans="1:15" s="5" customFormat="1" ht="12.75" customHeight="1">
      <c r="A96" s="224">
        <v>119090</v>
      </c>
      <c r="B96" s="154" t="s">
        <v>604</v>
      </c>
      <c r="C96" s="150"/>
      <c r="D96" s="155"/>
      <c r="E96" s="155"/>
      <c r="F96" s="156"/>
      <c r="G96" s="382">
        <f t="shared" si="9"/>
        <v>0</v>
      </c>
      <c r="H96" s="45"/>
      <c r="I96" s="46"/>
      <c r="J96" s="46"/>
      <c r="K96" s="367"/>
      <c r="L96" s="520">
        <f t="shared" si="8"/>
      </c>
      <c r="M96" s="169"/>
      <c r="N96" s="200"/>
      <c r="O96" s="200"/>
    </row>
    <row r="97" spans="1:15" s="5" customFormat="1" ht="12.75" customHeight="1">
      <c r="A97" s="224">
        <v>119091</v>
      </c>
      <c r="B97" s="154" t="s">
        <v>605</v>
      </c>
      <c r="C97" s="150"/>
      <c r="D97" s="155"/>
      <c r="E97" s="155"/>
      <c r="F97" s="156"/>
      <c r="G97" s="382">
        <f t="shared" si="9"/>
        <v>0</v>
      </c>
      <c r="H97" s="45"/>
      <c r="I97" s="46"/>
      <c r="J97" s="46"/>
      <c r="K97" s="367"/>
      <c r="L97" s="520">
        <f t="shared" si="8"/>
      </c>
      <c r="M97" s="169"/>
      <c r="N97" s="200"/>
      <c r="O97" s="200"/>
    </row>
    <row r="98" spans="1:15" s="5" customFormat="1" ht="12.75" customHeight="1">
      <c r="A98" s="224">
        <v>119092</v>
      </c>
      <c r="B98" s="154" t="s">
        <v>606</v>
      </c>
      <c r="C98" s="150"/>
      <c r="D98" s="155"/>
      <c r="E98" s="155"/>
      <c r="F98" s="156"/>
      <c r="G98" s="382">
        <f t="shared" si="9"/>
        <v>0</v>
      </c>
      <c r="H98" s="45"/>
      <c r="I98" s="46"/>
      <c r="J98" s="46"/>
      <c r="K98" s="367"/>
      <c r="L98" s="520">
        <f t="shared" si="8"/>
      </c>
      <c r="M98" s="169"/>
      <c r="N98" s="200"/>
      <c r="O98" s="200"/>
    </row>
    <row r="99" spans="1:15" s="5" customFormat="1" ht="12.75" customHeight="1">
      <c r="A99" s="224">
        <v>119093</v>
      </c>
      <c r="B99" s="218" t="s">
        <v>569</v>
      </c>
      <c r="C99" s="219"/>
      <c r="D99" s="220"/>
      <c r="E99" s="220"/>
      <c r="F99" s="221"/>
      <c r="G99" s="379">
        <f t="shared" si="9"/>
        <v>0</v>
      </c>
      <c r="H99" s="38"/>
      <c r="I99" s="41"/>
      <c r="J99" s="41"/>
      <c r="K99" s="367"/>
      <c r="L99" s="520">
        <f t="shared" si="8"/>
      </c>
      <c r="M99" s="169"/>
      <c r="N99" s="200"/>
      <c r="O99" s="200"/>
    </row>
    <row r="100" spans="1:15" s="1" customFormat="1" ht="13.5" thickBot="1">
      <c r="A100" s="230" t="s">
        <v>401</v>
      </c>
      <c r="B100" s="157"/>
      <c r="C100" s="158"/>
      <c r="D100" s="159"/>
      <c r="E100" s="160"/>
      <c r="F100" s="161" t="s">
        <v>570</v>
      </c>
      <c r="G100" s="383">
        <f>SUM(G36:G99)</f>
        <v>0</v>
      </c>
      <c r="H100" s="38"/>
      <c r="I100" s="41"/>
      <c r="J100" s="41"/>
      <c r="K100" s="366"/>
      <c r="L100" s="383">
        <f>SUM(L36:L99)</f>
        <v>0</v>
      </c>
      <c r="M100" s="169"/>
      <c r="N100" s="199"/>
      <c r="O100" s="199"/>
    </row>
    <row r="101" spans="1:15" s="1" customFormat="1" ht="0.75" customHeight="1" thickTop="1">
      <c r="A101" s="226"/>
      <c r="C101" s="21"/>
      <c r="D101" s="47"/>
      <c r="E101" s="74"/>
      <c r="F101" s="90"/>
      <c r="G101" s="41"/>
      <c r="H101" s="38"/>
      <c r="I101" s="41"/>
      <c r="J101" s="41"/>
      <c r="K101" s="366"/>
      <c r="L101" s="521"/>
      <c r="M101" s="169"/>
      <c r="N101" s="199"/>
      <c r="O101" s="199"/>
    </row>
    <row r="102" spans="1:15" s="1" customFormat="1" ht="24.75" customHeight="1" thickTop="1">
      <c r="A102" s="228" t="s">
        <v>518</v>
      </c>
      <c r="B102" s="2"/>
      <c r="C102" s="21"/>
      <c r="D102" s="171" t="s">
        <v>422</v>
      </c>
      <c r="E102" s="172" t="s">
        <v>423</v>
      </c>
      <c r="F102" s="171" t="s">
        <v>424</v>
      </c>
      <c r="G102" s="171" t="s">
        <v>425</v>
      </c>
      <c r="H102" s="171" t="s">
        <v>426</v>
      </c>
      <c r="I102" s="173" t="s">
        <v>427</v>
      </c>
      <c r="J102" s="173"/>
      <c r="K102" s="366"/>
      <c r="L102" s="518" t="s">
        <v>688</v>
      </c>
      <c r="M102" s="169"/>
      <c r="N102" s="199"/>
      <c r="O102" s="199"/>
    </row>
    <row r="103" spans="1:15" s="1" customFormat="1" ht="12.75">
      <c r="A103" s="224">
        <v>211116</v>
      </c>
      <c r="B103" s="9" t="s">
        <v>200</v>
      </c>
      <c r="C103" s="20"/>
      <c r="D103" s="72"/>
      <c r="E103" s="155"/>
      <c r="F103" s="95"/>
      <c r="G103" s="377">
        <f aca="true" t="shared" si="10" ref="G103:G131">IF(X=0,(IF(Me=0,Sa,Me*Sa)),(IF(Me=0,Sa*X,Me*X*Sa)))</f>
        <v>0</v>
      </c>
      <c r="H103" s="375">
        <f aca="true" t="shared" si="11" ref="H103:H131">IF(Sum,Sos,0)</f>
        <v>0</v>
      </c>
      <c r="I103" s="376">
        <f aca="true" t="shared" si="12" ref="I103:I131">IF(Prosent&lt;&gt;0,(Sum*Prosent)/100,0)</f>
        <v>0</v>
      </c>
      <c r="J103" s="41"/>
      <c r="K103" s="367"/>
      <c r="L103" s="520">
        <f aca="true" t="shared" si="13" ref="L103:L150">IF(FMVA&lt;&gt;"",(Sum*mva)-Sum,"")</f>
      </c>
      <c r="M103" s="169"/>
      <c r="N103" s="199"/>
      <c r="O103" s="199"/>
    </row>
    <row r="104" spans="1:15" s="1" customFormat="1" ht="12.75">
      <c r="A104" s="224">
        <v>211120</v>
      </c>
      <c r="B104" s="9" t="s">
        <v>571</v>
      </c>
      <c r="C104" s="20"/>
      <c r="D104" s="72"/>
      <c r="E104" s="72"/>
      <c r="F104" s="95"/>
      <c r="G104" s="378">
        <f t="shared" si="10"/>
        <v>0</v>
      </c>
      <c r="H104" s="375">
        <f t="shared" si="11"/>
        <v>0</v>
      </c>
      <c r="I104" s="376">
        <f t="shared" si="12"/>
        <v>0</v>
      </c>
      <c r="J104" s="41"/>
      <c r="K104" s="367"/>
      <c r="L104" s="520">
        <f t="shared" si="13"/>
      </c>
      <c r="M104" s="169"/>
      <c r="N104" s="199"/>
      <c r="O104" s="199"/>
    </row>
    <row r="105" spans="1:15" s="1" customFormat="1" ht="12.75">
      <c r="A105" s="224">
        <v>211124</v>
      </c>
      <c r="B105" s="12" t="s">
        <v>613</v>
      </c>
      <c r="C105" s="20"/>
      <c r="D105" s="72"/>
      <c r="E105" s="72"/>
      <c r="F105" s="95"/>
      <c r="G105" s="378">
        <f t="shared" si="10"/>
        <v>0</v>
      </c>
      <c r="H105" s="375">
        <f t="shared" si="11"/>
        <v>0</v>
      </c>
      <c r="I105" s="376">
        <f t="shared" si="12"/>
        <v>0</v>
      </c>
      <c r="J105" s="41"/>
      <c r="K105" s="367"/>
      <c r="L105" s="520">
        <f t="shared" si="13"/>
      </c>
      <c r="M105" s="169"/>
      <c r="N105" s="199"/>
      <c r="O105" s="199"/>
    </row>
    <row r="106" spans="1:15" s="1" customFormat="1" ht="12.75">
      <c r="A106" s="224">
        <v>211125</v>
      </c>
      <c r="B106" s="9" t="s">
        <v>614</v>
      </c>
      <c r="C106" s="20"/>
      <c r="D106" s="55"/>
      <c r="E106" s="72"/>
      <c r="F106" s="381">
        <f>IF(D106=0,0,+G105)</f>
        <v>0</v>
      </c>
      <c r="G106" s="378">
        <f t="shared" si="10"/>
        <v>0</v>
      </c>
      <c r="H106" s="375">
        <f t="shared" si="11"/>
        <v>0</v>
      </c>
      <c r="I106" s="376">
        <f t="shared" si="12"/>
        <v>0</v>
      </c>
      <c r="J106" s="41"/>
      <c r="K106" s="367"/>
      <c r="L106" s="520">
        <f t="shared" si="13"/>
      </c>
      <c r="M106" s="169"/>
      <c r="N106" s="199"/>
      <c r="O106" s="199"/>
    </row>
    <row r="107" spans="1:15" s="1" customFormat="1" ht="12.75">
      <c r="A107" s="224">
        <v>211126</v>
      </c>
      <c r="B107" s="12" t="s">
        <v>572</v>
      </c>
      <c r="C107" s="20"/>
      <c r="D107" s="72"/>
      <c r="E107" s="72"/>
      <c r="F107" s="95"/>
      <c r="G107" s="378">
        <f t="shared" si="10"/>
        <v>0</v>
      </c>
      <c r="H107" s="375">
        <f t="shared" si="11"/>
        <v>0</v>
      </c>
      <c r="I107" s="376">
        <f t="shared" si="12"/>
        <v>0</v>
      </c>
      <c r="J107" s="41"/>
      <c r="K107" s="367"/>
      <c r="L107" s="520">
        <f t="shared" si="13"/>
      </c>
      <c r="M107" s="169"/>
      <c r="N107" s="199"/>
      <c r="O107" s="199"/>
    </row>
    <row r="108" spans="1:15" s="1" customFormat="1" ht="12.75">
      <c r="A108" s="224">
        <v>211127</v>
      </c>
      <c r="B108" s="9" t="s">
        <v>573</v>
      </c>
      <c r="C108" s="20"/>
      <c r="D108" s="55"/>
      <c r="E108" s="72"/>
      <c r="F108" s="381">
        <f>IF(D108=0,0,+G107)</f>
        <v>0</v>
      </c>
      <c r="G108" s="378">
        <f t="shared" si="10"/>
        <v>0</v>
      </c>
      <c r="H108" s="375">
        <f t="shared" si="11"/>
        <v>0</v>
      </c>
      <c r="I108" s="376">
        <f t="shared" si="12"/>
        <v>0</v>
      </c>
      <c r="J108" s="41"/>
      <c r="K108" s="367"/>
      <c r="L108" s="520">
        <f t="shared" si="13"/>
      </c>
      <c r="M108" s="169"/>
      <c r="N108" s="199"/>
      <c r="O108" s="199"/>
    </row>
    <row r="109" spans="1:15" s="1" customFormat="1" ht="12.75">
      <c r="A109" s="224">
        <v>211130</v>
      </c>
      <c r="B109" s="12" t="s">
        <v>429</v>
      </c>
      <c r="C109" s="20"/>
      <c r="D109" s="72"/>
      <c r="E109" s="72"/>
      <c r="F109" s="95"/>
      <c r="G109" s="378">
        <f t="shared" si="10"/>
        <v>0</v>
      </c>
      <c r="H109" s="375">
        <f t="shared" si="11"/>
        <v>0</v>
      </c>
      <c r="I109" s="376">
        <f t="shared" si="12"/>
        <v>0</v>
      </c>
      <c r="J109" s="41"/>
      <c r="K109" s="367"/>
      <c r="L109" s="520">
        <f t="shared" si="13"/>
      </c>
      <c r="M109" s="169"/>
      <c r="N109" s="199"/>
      <c r="O109" s="199"/>
    </row>
    <row r="110" spans="1:15" s="1" customFormat="1" ht="12.75">
      <c r="A110" s="224">
        <v>211131</v>
      </c>
      <c r="B110" s="9" t="s">
        <v>432</v>
      </c>
      <c r="C110" s="20"/>
      <c r="D110" s="55"/>
      <c r="E110" s="72"/>
      <c r="F110" s="381">
        <f>IF(D110=0,0,+G109)</f>
        <v>0</v>
      </c>
      <c r="G110" s="378">
        <f t="shared" si="10"/>
        <v>0</v>
      </c>
      <c r="H110" s="375">
        <f t="shared" si="11"/>
        <v>0</v>
      </c>
      <c r="I110" s="376">
        <f t="shared" si="12"/>
        <v>0</v>
      </c>
      <c r="J110" s="41"/>
      <c r="K110" s="367"/>
      <c r="L110" s="520">
        <f t="shared" si="13"/>
      </c>
      <c r="M110" s="169"/>
      <c r="N110" s="199"/>
      <c r="O110" s="199"/>
    </row>
    <row r="111" spans="1:15" s="1" customFormat="1" ht="12.75">
      <c r="A111" s="224">
        <v>211140</v>
      </c>
      <c r="B111" s="9" t="s">
        <v>574</v>
      </c>
      <c r="C111" s="20"/>
      <c r="D111" s="72"/>
      <c r="E111" s="72"/>
      <c r="F111" s="95"/>
      <c r="G111" s="378">
        <f t="shared" si="10"/>
        <v>0</v>
      </c>
      <c r="H111" s="375">
        <f t="shared" si="11"/>
        <v>0</v>
      </c>
      <c r="I111" s="376">
        <f t="shared" si="12"/>
        <v>0</v>
      </c>
      <c r="J111" s="41"/>
      <c r="K111" s="367"/>
      <c r="L111" s="520">
        <f t="shared" si="13"/>
      </c>
      <c r="M111" s="169"/>
      <c r="N111" s="199"/>
      <c r="O111" s="199"/>
    </row>
    <row r="112" spans="1:15" s="1" customFormat="1" ht="12.75">
      <c r="A112" s="224">
        <v>211141</v>
      </c>
      <c r="B112" s="9" t="s">
        <v>575</v>
      </c>
      <c r="C112" s="20"/>
      <c r="D112" s="55"/>
      <c r="E112" s="72"/>
      <c r="F112" s="381">
        <f>IF(D112=0,0,+G111)</f>
        <v>0</v>
      </c>
      <c r="G112" s="378">
        <f t="shared" si="10"/>
        <v>0</v>
      </c>
      <c r="H112" s="375">
        <f t="shared" si="11"/>
        <v>0</v>
      </c>
      <c r="I112" s="376">
        <f t="shared" si="12"/>
        <v>0</v>
      </c>
      <c r="J112" s="41"/>
      <c r="K112" s="367"/>
      <c r="L112" s="520">
        <f t="shared" si="13"/>
      </c>
      <c r="M112" s="169"/>
      <c r="N112" s="199"/>
      <c r="O112" s="199"/>
    </row>
    <row r="113" spans="1:15" s="1" customFormat="1" ht="12.75">
      <c r="A113" s="224">
        <v>211210</v>
      </c>
      <c r="B113" s="12" t="s">
        <v>576</v>
      </c>
      <c r="C113" s="20"/>
      <c r="D113" s="72"/>
      <c r="E113" s="72"/>
      <c r="F113" s="95"/>
      <c r="G113" s="378">
        <f t="shared" si="10"/>
        <v>0</v>
      </c>
      <c r="H113" s="375">
        <f t="shared" si="11"/>
        <v>0</v>
      </c>
      <c r="I113" s="376">
        <f t="shared" si="12"/>
        <v>0</v>
      </c>
      <c r="J113" s="41"/>
      <c r="K113" s="367"/>
      <c r="L113" s="520">
        <f t="shared" si="13"/>
      </c>
      <c r="M113" s="169"/>
      <c r="N113" s="199"/>
      <c r="O113" s="199"/>
    </row>
    <row r="114" spans="1:15" s="1" customFormat="1" ht="12.75">
      <c r="A114" s="224">
        <v>211214</v>
      </c>
      <c r="B114" s="9" t="s">
        <v>577</v>
      </c>
      <c r="C114" s="20"/>
      <c r="D114" s="72"/>
      <c r="E114" s="72"/>
      <c r="F114" s="95"/>
      <c r="G114" s="378">
        <f t="shared" si="10"/>
        <v>0</v>
      </c>
      <c r="H114" s="375">
        <f t="shared" si="11"/>
        <v>0</v>
      </c>
      <c r="I114" s="376">
        <f t="shared" si="12"/>
        <v>0</v>
      </c>
      <c r="J114" s="41"/>
      <c r="K114" s="367"/>
      <c r="L114" s="520">
        <f t="shared" si="13"/>
      </c>
      <c r="M114" s="169"/>
      <c r="N114" s="199"/>
      <c r="O114" s="199"/>
    </row>
    <row r="115" spans="1:15" s="1" customFormat="1" ht="12.75">
      <c r="A115" s="224">
        <v>211215</v>
      </c>
      <c r="B115" s="12" t="s">
        <v>578</v>
      </c>
      <c r="C115" s="20"/>
      <c r="D115" s="55"/>
      <c r="E115" s="72"/>
      <c r="F115" s="381">
        <f>IF(D115=0,0,+G114)</f>
        <v>0</v>
      </c>
      <c r="G115" s="378">
        <f t="shared" si="10"/>
        <v>0</v>
      </c>
      <c r="H115" s="375">
        <f t="shared" si="11"/>
        <v>0</v>
      </c>
      <c r="I115" s="376">
        <f t="shared" si="12"/>
        <v>0</v>
      </c>
      <c r="J115" s="41"/>
      <c r="K115" s="367"/>
      <c r="L115" s="520">
        <f t="shared" si="13"/>
      </c>
      <c r="M115" s="169"/>
      <c r="N115" s="199"/>
      <c r="O115" s="199"/>
    </row>
    <row r="116" spans="1:15" s="1" customFormat="1" ht="12.75">
      <c r="A116" s="224">
        <v>211240</v>
      </c>
      <c r="B116" s="9" t="s">
        <v>607</v>
      </c>
      <c r="C116" s="20"/>
      <c r="D116" s="72"/>
      <c r="E116" s="72"/>
      <c r="F116" s="95"/>
      <c r="G116" s="378">
        <f t="shared" si="10"/>
        <v>0</v>
      </c>
      <c r="H116" s="375">
        <f t="shared" si="11"/>
        <v>0</v>
      </c>
      <c r="I116" s="376">
        <f t="shared" si="12"/>
        <v>0</v>
      </c>
      <c r="J116" s="41"/>
      <c r="K116" s="367"/>
      <c r="L116" s="520">
        <f t="shared" si="13"/>
      </c>
      <c r="M116" s="169"/>
      <c r="N116" s="199"/>
      <c r="O116" s="199"/>
    </row>
    <row r="117" spans="1:15" s="1" customFormat="1" ht="12.75">
      <c r="A117" s="224">
        <v>211241</v>
      </c>
      <c r="B117" s="9" t="s">
        <v>608</v>
      </c>
      <c r="C117" s="20"/>
      <c r="D117" s="55"/>
      <c r="E117" s="72"/>
      <c r="F117" s="381">
        <f>IF(D117=0,0,+G116)</f>
        <v>0</v>
      </c>
      <c r="G117" s="378">
        <f t="shared" si="10"/>
        <v>0</v>
      </c>
      <c r="H117" s="375">
        <f t="shared" si="11"/>
        <v>0</v>
      </c>
      <c r="I117" s="376">
        <f t="shared" si="12"/>
        <v>0</v>
      </c>
      <c r="J117" s="41"/>
      <c r="K117" s="367"/>
      <c r="L117" s="520">
        <f t="shared" si="13"/>
      </c>
      <c r="M117" s="169"/>
      <c r="N117" s="199"/>
      <c r="O117" s="199"/>
    </row>
    <row r="118" spans="1:15" s="1" customFormat="1" ht="12.75">
      <c r="A118" s="224">
        <v>211310</v>
      </c>
      <c r="B118" s="9" t="s">
        <v>579</v>
      </c>
      <c r="C118" s="20"/>
      <c r="D118" s="72"/>
      <c r="E118" s="72"/>
      <c r="F118" s="95"/>
      <c r="G118" s="378">
        <f t="shared" si="10"/>
        <v>0</v>
      </c>
      <c r="H118" s="375">
        <f t="shared" si="11"/>
        <v>0</v>
      </c>
      <c r="I118" s="376">
        <f t="shared" si="12"/>
        <v>0</v>
      </c>
      <c r="J118" s="41"/>
      <c r="K118" s="367"/>
      <c r="L118" s="520">
        <f t="shared" si="13"/>
      </c>
      <c r="M118" s="169"/>
      <c r="N118" s="199"/>
      <c r="O118" s="199"/>
    </row>
    <row r="119" spans="1:15" s="1" customFormat="1" ht="12.75">
      <c r="A119" s="224">
        <v>211311</v>
      </c>
      <c r="B119" s="9" t="s">
        <v>580</v>
      </c>
      <c r="C119" s="20"/>
      <c r="D119" s="55"/>
      <c r="E119" s="72"/>
      <c r="F119" s="381">
        <f>IF(D119=0,0,+G118)</f>
        <v>0</v>
      </c>
      <c r="G119" s="378">
        <f t="shared" si="10"/>
        <v>0</v>
      </c>
      <c r="H119" s="375">
        <f t="shared" si="11"/>
        <v>0</v>
      </c>
      <c r="I119" s="376">
        <f t="shared" si="12"/>
        <v>0</v>
      </c>
      <c r="J119" s="41"/>
      <c r="K119" s="367"/>
      <c r="L119" s="520">
        <f t="shared" si="13"/>
      </c>
      <c r="M119" s="169"/>
      <c r="N119" s="199"/>
      <c r="O119" s="199"/>
    </row>
    <row r="120" spans="1:15" s="1" customFormat="1" ht="12.75">
      <c r="A120" s="224">
        <v>211610</v>
      </c>
      <c r="B120" s="9" t="s">
        <v>581</v>
      </c>
      <c r="C120" s="20"/>
      <c r="D120" s="72"/>
      <c r="E120" s="72"/>
      <c r="F120" s="95"/>
      <c r="G120" s="378">
        <f t="shared" si="10"/>
        <v>0</v>
      </c>
      <c r="H120" s="375">
        <f t="shared" si="11"/>
        <v>0</v>
      </c>
      <c r="I120" s="376">
        <f t="shared" si="12"/>
        <v>0</v>
      </c>
      <c r="J120" s="41"/>
      <c r="K120" s="367"/>
      <c r="L120" s="520">
        <f t="shared" si="13"/>
      </c>
      <c r="M120" s="169"/>
      <c r="N120" s="199"/>
      <c r="O120" s="199"/>
    </row>
    <row r="121" spans="1:15" s="1" customFormat="1" ht="12.75">
      <c r="A121" s="224">
        <v>211611</v>
      </c>
      <c r="B121" s="9" t="s">
        <v>583</v>
      </c>
      <c r="C121" s="20"/>
      <c r="D121" s="55"/>
      <c r="E121" s="72"/>
      <c r="F121" s="381">
        <f>IF(D121=0,0,+G120)</f>
        <v>0</v>
      </c>
      <c r="G121" s="378">
        <f t="shared" si="10"/>
        <v>0</v>
      </c>
      <c r="H121" s="375">
        <f t="shared" si="11"/>
        <v>0</v>
      </c>
      <c r="I121" s="376">
        <f t="shared" si="12"/>
        <v>0</v>
      </c>
      <c r="J121" s="41"/>
      <c r="K121" s="367"/>
      <c r="L121" s="520">
        <f t="shared" si="13"/>
      </c>
      <c r="M121" s="169"/>
      <c r="N121" s="199"/>
      <c r="O121" s="199"/>
    </row>
    <row r="122" spans="1:15" s="1" customFormat="1" ht="12.75">
      <c r="A122" s="224">
        <v>211810</v>
      </c>
      <c r="B122" s="12" t="s">
        <v>584</v>
      </c>
      <c r="C122" s="20"/>
      <c r="D122" s="72"/>
      <c r="E122" s="72"/>
      <c r="F122" s="95"/>
      <c r="G122" s="378">
        <f t="shared" si="10"/>
        <v>0</v>
      </c>
      <c r="H122" s="375">
        <f t="shared" si="11"/>
        <v>0</v>
      </c>
      <c r="I122" s="376">
        <f t="shared" si="12"/>
        <v>0</v>
      </c>
      <c r="J122" s="41"/>
      <c r="K122" s="367"/>
      <c r="L122" s="520">
        <f t="shared" si="13"/>
      </c>
      <c r="M122" s="169"/>
      <c r="N122" s="199"/>
      <c r="O122" s="199"/>
    </row>
    <row r="123" spans="1:15" s="1" customFormat="1" ht="12.75">
      <c r="A123" s="224">
        <v>211811</v>
      </c>
      <c r="B123" s="9" t="s">
        <v>585</v>
      </c>
      <c r="C123" s="20"/>
      <c r="D123" s="55"/>
      <c r="E123" s="72"/>
      <c r="F123" s="381">
        <f>IF(D123=0,0,+G122)</f>
        <v>0</v>
      </c>
      <c r="G123" s="378">
        <f t="shared" si="10"/>
        <v>0</v>
      </c>
      <c r="H123" s="375">
        <f t="shared" si="11"/>
        <v>0</v>
      </c>
      <c r="I123" s="376">
        <f t="shared" si="12"/>
        <v>0</v>
      </c>
      <c r="J123" s="41"/>
      <c r="K123" s="367"/>
      <c r="L123" s="520">
        <f t="shared" si="13"/>
      </c>
      <c r="M123" s="169"/>
      <c r="N123" s="199"/>
      <c r="O123" s="199"/>
    </row>
    <row r="124" spans="1:15" s="1" customFormat="1" ht="12.75">
      <c r="A124" s="224">
        <v>213210</v>
      </c>
      <c r="B124" s="12" t="s">
        <v>586</v>
      </c>
      <c r="C124" s="20"/>
      <c r="D124" s="72"/>
      <c r="E124" s="72"/>
      <c r="F124" s="95"/>
      <c r="G124" s="378">
        <f t="shared" si="10"/>
        <v>0</v>
      </c>
      <c r="H124" s="375">
        <f t="shared" si="11"/>
        <v>0</v>
      </c>
      <c r="I124" s="376">
        <f t="shared" si="12"/>
        <v>0</v>
      </c>
      <c r="J124" s="41"/>
      <c r="K124" s="367"/>
      <c r="L124" s="520">
        <f t="shared" si="13"/>
      </c>
      <c r="M124" s="169"/>
      <c r="N124" s="199"/>
      <c r="O124" s="199"/>
    </row>
    <row r="125" spans="1:15" s="1" customFormat="1" ht="12.75">
      <c r="A125" s="224">
        <v>213211</v>
      </c>
      <c r="B125" s="9" t="s">
        <v>587</v>
      </c>
      <c r="C125" s="20"/>
      <c r="D125" s="55"/>
      <c r="E125" s="72"/>
      <c r="F125" s="381">
        <f>IF(D125=0,0,+G124)</f>
        <v>0</v>
      </c>
      <c r="G125" s="378">
        <f t="shared" si="10"/>
        <v>0</v>
      </c>
      <c r="H125" s="375">
        <f t="shared" si="11"/>
        <v>0</v>
      </c>
      <c r="I125" s="376">
        <f t="shared" si="12"/>
        <v>0</v>
      </c>
      <c r="J125" s="41"/>
      <c r="K125" s="367"/>
      <c r="L125" s="520">
        <f t="shared" si="13"/>
      </c>
      <c r="M125" s="169"/>
      <c r="N125" s="199"/>
      <c r="O125" s="199"/>
    </row>
    <row r="126" spans="1:15" s="1" customFormat="1" ht="12.75">
      <c r="A126" s="224">
        <v>214010</v>
      </c>
      <c r="B126" s="12" t="s">
        <v>550</v>
      </c>
      <c r="C126" s="20"/>
      <c r="D126" s="72"/>
      <c r="E126" s="72"/>
      <c r="F126" s="95"/>
      <c r="G126" s="378">
        <f t="shared" si="10"/>
        <v>0</v>
      </c>
      <c r="H126" s="375">
        <f t="shared" si="11"/>
        <v>0</v>
      </c>
      <c r="I126" s="376">
        <f t="shared" si="12"/>
        <v>0</v>
      </c>
      <c r="J126" s="41"/>
      <c r="K126" s="367"/>
      <c r="L126" s="520">
        <f t="shared" si="13"/>
      </c>
      <c r="M126" s="169"/>
      <c r="N126" s="199"/>
      <c r="O126" s="199"/>
    </row>
    <row r="127" spans="1:15" s="1" customFormat="1" ht="12.75">
      <c r="A127" s="224">
        <v>214014</v>
      </c>
      <c r="B127" s="9" t="s">
        <v>588</v>
      </c>
      <c r="C127" s="20"/>
      <c r="D127" s="72"/>
      <c r="E127" s="72"/>
      <c r="F127" s="95"/>
      <c r="G127" s="378">
        <f t="shared" si="10"/>
        <v>0</v>
      </c>
      <c r="H127" s="375">
        <f t="shared" si="11"/>
        <v>0</v>
      </c>
      <c r="I127" s="376">
        <f t="shared" si="12"/>
        <v>0</v>
      </c>
      <c r="J127" s="41"/>
      <c r="K127" s="367"/>
      <c r="L127" s="520">
        <f t="shared" si="13"/>
      </c>
      <c r="M127" s="169"/>
      <c r="N127" s="199"/>
      <c r="O127" s="199"/>
    </row>
    <row r="128" spans="1:15" s="1" customFormat="1" ht="12.75">
      <c r="A128" s="224">
        <v>214015</v>
      </c>
      <c r="B128" s="12" t="s">
        <v>589</v>
      </c>
      <c r="C128" s="20"/>
      <c r="D128" s="55"/>
      <c r="E128" s="72"/>
      <c r="F128" s="381">
        <f>IF(D128=0,0,+G127)</f>
        <v>0</v>
      </c>
      <c r="G128" s="378">
        <f t="shared" si="10"/>
        <v>0</v>
      </c>
      <c r="H128" s="375">
        <f t="shared" si="11"/>
        <v>0</v>
      </c>
      <c r="I128" s="376">
        <f t="shared" si="12"/>
        <v>0</v>
      </c>
      <c r="J128" s="41"/>
      <c r="K128" s="367"/>
      <c r="L128" s="520">
        <f t="shared" si="13"/>
      </c>
      <c r="M128" s="169"/>
      <c r="N128" s="199"/>
      <c r="O128" s="199"/>
    </row>
    <row r="129" spans="1:15" s="1" customFormat="1" ht="12.75">
      <c r="A129" s="224">
        <v>214090</v>
      </c>
      <c r="B129" s="9" t="s">
        <v>552</v>
      </c>
      <c r="C129" s="20"/>
      <c r="D129" s="72"/>
      <c r="E129" s="72"/>
      <c r="F129" s="95"/>
      <c r="G129" s="378">
        <f t="shared" si="10"/>
        <v>0</v>
      </c>
      <c r="H129" s="375">
        <f t="shared" si="11"/>
        <v>0</v>
      </c>
      <c r="I129" s="376">
        <f t="shared" si="12"/>
        <v>0</v>
      </c>
      <c r="J129" s="41"/>
      <c r="K129" s="367"/>
      <c r="L129" s="520">
        <f t="shared" si="13"/>
      </c>
      <c r="M129" s="169"/>
      <c r="N129" s="199"/>
      <c r="O129" s="199"/>
    </row>
    <row r="130" spans="1:15" s="1" customFormat="1" ht="12.75">
      <c r="A130" s="224">
        <v>214091</v>
      </c>
      <c r="B130" s="9" t="s">
        <v>553</v>
      </c>
      <c r="C130" s="20"/>
      <c r="D130" s="55"/>
      <c r="E130" s="72"/>
      <c r="F130" s="381">
        <f>IF(D130=0,0,+G129)</f>
        <v>0</v>
      </c>
      <c r="G130" s="378">
        <f t="shared" si="10"/>
        <v>0</v>
      </c>
      <c r="H130" s="375">
        <f t="shared" si="11"/>
        <v>0</v>
      </c>
      <c r="I130" s="376">
        <f t="shared" si="12"/>
        <v>0</v>
      </c>
      <c r="J130" s="41"/>
      <c r="K130" s="367"/>
      <c r="L130" s="520">
        <f t="shared" si="13"/>
      </c>
      <c r="M130" s="169"/>
      <c r="N130" s="199"/>
      <c r="O130" s="199"/>
    </row>
    <row r="131" spans="1:15" s="1" customFormat="1" ht="12.75">
      <c r="A131" s="224">
        <v>214092</v>
      </c>
      <c r="B131" s="9" t="s">
        <v>590</v>
      </c>
      <c r="C131" s="20"/>
      <c r="D131" s="72"/>
      <c r="E131" s="72"/>
      <c r="F131" s="95"/>
      <c r="G131" s="378">
        <f t="shared" si="10"/>
        <v>0</v>
      </c>
      <c r="H131" s="375">
        <f t="shared" si="11"/>
        <v>0</v>
      </c>
      <c r="I131" s="376">
        <f t="shared" si="12"/>
        <v>0</v>
      </c>
      <c r="J131" s="41"/>
      <c r="K131" s="367"/>
      <c r="L131" s="520">
        <f t="shared" si="13"/>
      </c>
      <c r="M131" s="169"/>
      <c r="N131" s="199"/>
      <c r="O131" s="199"/>
    </row>
    <row r="132" spans="1:15" s="1" customFormat="1" ht="12.75">
      <c r="A132" s="224">
        <v>214095</v>
      </c>
      <c r="B132" s="9" t="s">
        <v>554</v>
      </c>
      <c r="C132" s="20"/>
      <c r="D132" s="73"/>
      <c r="E132" s="73"/>
      <c r="F132" s="98"/>
      <c r="G132" s="384">
        <f>SUM(I103:I131)</f>
        <v>0</v>
      </c>
      <c r="H132" s="38"/>
      <c r="I132" s="39" t="s">
        <v>555</v>
      </c>
      <c r="J132" s="39"/>
      <c r="K132" s="572"/>
      <c r="L132" s="520"/>
      <c r="M132" s="169"/>
      <c r="N132" s="199"/>
      <c r="O132" s="199"/>
    </row>
    <row r="133" spans="1:15" s="1" customFormat="1" ht="12.75">
      <c r="A133" s="224">
        <v>218622</v>
      </c>
      <c r="B133" s="9" t="s">
        <v>593</v>
      </c>
      <c r="C133" s="20"/>
      <c r="D133" s="72"/>
      <c r="E133" s="72"/>
      <c r="F133" s="95"/>
      <c r="G133" s="378">
        <f aca="true" t="shared" si="14" ref="G133:G150">IF(X=0,(IF(Me=0,Sa,Me*Sa)),(IF(Me=0,Sa*X,Me*X*Sa)))</f>
        <v>0</v>
      </c>
      <c r="H133" s="38"/>
      <c r="I133" s="48"/>
      <c r="J133" s="48"/>
      <c r="K133" s="367"/>
      <c r="L133" s="520">
        <f t="shared" si="13"/>
      </c>
      <c r="M133" s="169"/>
      <c r="N133" s="199"/>
      <c r="O133" s="199"/>
    </row>
    <row r="134" spans="1:15" s="1" customFormat="1" ht="12.75">
      <c r="A134" s="224">
        <v>219010</v>
      </c>
      <c r="B134" s="9" t="s">
        <v>556</v>
      </c>
      <c r="C134" s="20"/>
      <c r="D134" s="72"/>
      <c r="E134" s="72"/>
      <c r="F134" s="95"/>
      <c r="G134" s="378">
        <f t="shared" si="14"/>
        <v>0</v>
      </c>
      <c r="H134" s="38"/>
      <c r="I134" s="48"/>
      <c r="J134" s="48"/>
      <c r="K134" s="367"/>
      <c r="L134" s="520">
        <f t="shared" si="13"/>
      </c>
      <c r="M134" s="169"/>
      <c r="N134" s="199"/>
      <c r="O134" s="199"/>
    </row>
    <row r="135" spans="1:15" s="1" customFormat="1" ht="12.75">
      <c r="A135" s="224">
        <v>219013</v>
      </c>
      <c r="B135" s="12" t="s">
        <v>557</v>
      </c>
      <c r="C135" s="20"/>
      <c r="D135" s="72"/>
      <c r="E135" s="72"/>
      <c r="F135" s="95"/>
      <c r="G135" s="378">
        <f t="shared" si="14"/>
        <v>0</v>
      </c>
      <c r="H135" s="38"/>
      <c r="I135" s="48"/>
      <c r="J135" s="48"/>
      <c r="K135" s="367"/>
      <c r="L135" s="520">
        <f t="shared" si="13"/>
      </c>
      <c r="M135" s="169"/>
      <c r="N135" s="199"/>
      <c r="O135" s="199"/>
    </row>
    <row r="136" spans="1:15" s="1" customFormat="1" ht="12.75">
      <c r="A136" s="224">
        <v>219014</v>
      </c>
      <c r="B136" s="12" t="s">
        <v>609</v>
      </c>
      <c r="C136" s="20"/>
      <c r="D136" s="72"/>
      <c r="E136" s="72"/>
      <c r="F136" s="95"/>
      <c r="G136" s="378">
        <f t="shared" si="14"/>
        <v>0</v>
      </c>
      <c r="H136" s="38"/>
      <c r="I136" s="48"/>
      <c r="J136" s="48"/>
      <c r="K136" s="367"/>
      <c r="L136" s="520">
        <f t="shared" si="13"/>
      </c>
      <c r="M136" s="169"/>
      <c r="N136" s="199"/>
      <c r="O136" s="199"/>
    </row>
    <row r="137" spans="1:15" s="1" customFormat="1" ht="12.75">
      <c r="A137" s="224">
        <v>219022</v>
      </c>
      <c r="B137" s="9" t="s">
        <v>558</v>
      </c>
      <c r="C137" s="20"/>
      <c r="D137" s="72"/>
      <c r="E137" s="72"/>
      <c r="F137" s="95"/>
      <c r="G137" s="378">
        <f t="shared" si="14"/>
        <v>0</v>
      </c>
      <c r="H137" s="38"/>
      <c r="I137" s="48"/>
      <c r="J137" s="48"/>
      <c r="K137" s="367"/>
      <c r="L137" s="520">
        <f t="shared" si="13"/>
      </c>
      <c r="M137" s="169"/>
      <c r="N137" s="199"/>
      <c r="O137" s="199"/>
    </row>
    <row r="138" spans="1:15" s="1" customFormat="1" ht="12.75">
      <c r="A138" s="224">
        <v>219023</v>
      </c>
      <c r="B138" s="9" t="s">
        <v>559</v>
      </c>
      <c r="C138" s="20"/>
      <c r="D138" s="72"/>
      <c r="E138" s="72"/>
      <c r="F138" s="95"/>
      <c r="G138" s="378">
        <f t="shared" si="14"/>
        <v>0</v>
      </c>
      <c r="H138" s="38"/>
      <c r="I138" s="48"/>
      <c r="J138" s="48"/>
      <c r="K138" s="367"/>
      <c r="L138" s="520">
        <f t="shared" si="13"/>
      </c>
      <c r="M138" s="169"/>
      <c r="N138" s="199"/>
      <c r="O138" s="199"/>
    </row>
    <row r="139" spans="1:15" s="1" customFormat="1" ht="12.75">
      <c r="A139" s="224">
        <v>219025</v>
      </c>
      <c r="B139" s="9" t="s">
        <v>560</v>
      </c>
      <c r="C139" s="20"/>
      <c r="D139" s="72"/>
      <c r="E139" s="72"/>
      <c r="F139" s="95"/>
      <c r="G139" s="378">
        <f t="shared" si="14"/>
        <v>0</v>
      </c>
      <c r="H139" s="38"/>
      <c r="I139" s="48"/>
      <c r="J139" s="48"/>
      <c r="K139" s="367"/>
      <c r="L139" s="520">
        <f t="shared" si="13"/>
      </c>
      <c r="M139" s="169"/>
      <c r="N139" s="199"/>
      <c r="O139" s="199"/>
    </row>
    <row r="140" spans="1:15" s="1" customFormat="1" ht="12.75">
      <c r="A140" s="224">
        <v>219029</v>
      </c>
      <c r="B140" s="9" t="s">
        <v>561</v>
      </c>
      <c r="C140" s="20"/>
      <c r="D140" s="72"/>
      <c r="E140" s="72"/>
      <c r="F140" s="95"/>
      <c r="G140" s="378">
        <f t="shared" si="14"/>
        <v>0</v>
      </c>
      <c r="H140" s="38"/>
      <c r="I140" s="48"/>
      <c r="J140" s="48"/>
      <c r="K140" s="367"/>
      <c r="L140" s="520">
        <f t="shared" si="13"/>
      </c>
      <c r="M140" s="169"/>
      <c r="N140" s="199"/>
      <c r="O140" s="199"/>
    </row>
    <row r="141" spans="1:15" s="1" customFormat="1" ht="12.75">
      <c r="A141" s="224">
        <v>219030</v>
      </c>
      <c r="B141" s="9" t="s">
        <v>594</v>
      </c>
      <c r="C141" s="20"/>
      <c r="D141" s="72"/>
      <c r="E141" s="72"/>
      <c r="F141" s="95"/>
      <c r="G141" s="378">
        <f t="shared" si="14"/>
        <v>0</v>
      </c>
      <c r="H141" s="38"/>
      <c r="I141" s="48"/>
      <c r="J141" s="48"/>
      <c r="K141" s="367"/>
      <c r="L141" s="520">
        <f t="shared" si="13"/>
      </c>
      <c r="M141" s="169"/>
      <c r="N141" s="199"/>
      <c r="O141" s="199"/>
    </row>
    <row r="142" spans="1:15" s="1" customFormat="1" ht="12.75">
      <c r="A142" s="224">
        <v>219040</v>
      </c>
      <c r="B142" s="9" t="s">
        <v>769</v>
      </c>
      <c r="C142" s="20"/>
      <c r="D142" s="72"/>
      <c r="E142" s="72"/>
      <c r="F142" s="95"/>
      <c r="G142" s="378">
        <f t="shared" si="14"/>
        <v>0</v>
      </c>
      <c r="H142" s="38"/>
      <c r="I142" s="48"/>
      <c r="J142" s="48"/>
      <c r="K142" s="367"/>
      <c r="L142" s="520">
        <f t="shared" si="13"/>
      </c>
      <c r="M142" s="169"/>
      <c r="N142" s="199"/>
      <c r="O142" s="199"/>
    </row>
    <row r="143" spans="1:15" s="1" customFormat="1" ht="12.75">
      <c r="A143" s="224">
        <v>219042</v>
      </c>
      <c r="B143" s="9" t="s">
        <v>596</v>
      </c>
      <c r="C143" s="20"/>
      <c r="D143" s="72"/>
      <c r="E143" s="72"/>
      <c r="F143" s="95"/>
      <c r="G143" s="378">
        <f t="shared" si="14"/>
        <v>0</v>
      </c>
      <c r="H143" s="38"/>
      <c r="I143" s="48"/>
      <c r="J143" s="48"/>
      <c r="K143" s="367"/>
      <c r="L143" s="520">
        <f t="shared" si="13"/>
      </c>
      <c r="M143" s="169"/>
      <c r="N143" s="199"/>
      <c r="O143" s="199"/>
    </row>
    <row r="144" spans="1:15" s="1" customFormat="1" ht="12.75">
      <c r="A144" s="224">
        <v>219044</v>
      </c>
      <c r="B144" s="9" t="s">
        <v>597</v>
      </c>
      <c r="C144" s="20"/>
      <c r="D144" s="72"/>
      <c r="E144" s="72"/>
      <c r="F144" s="95"/>
      <c r="G144" s="378">
        <f t="shared" si="14"/>
        <v>0</v>
      </c>
      <c r="H144" s="38"/>
      <c r="I144" s="48"/>
      <c r="J144" s="48"/>
      <c r="K144" s="367"/>
      <c r="L144" s="520">
        <f t="shared" si="13"/>
      </c>
      <c r="M144" s="169"/>
      <c r="N144" s="199"/>
      <c r="O144" s="199"/>
    </row>
    <row r="145" spans="1:15" s="1" customFormat="1" ht="12.75">
      <c r="A145" s="224">
        <v>219060</v>
      </c>
      <c r="B145" s="9" t="s">
        <v>562</v>
      </c>
      <c r="C145" s="20"/>
      <c r="D145" s="72"/>
      <c r="E145" s="72"/>
      <c r="F145" s="95"/>
      <c r="G145" s="378">
        <f t="shared" si="14"/>
        <v>0</v>
      </c>
      <c r="H145" s="38"/>
      <c r="I145" s="48"/>
      <c r="J145" s="48"/>
      <c r="K145" s="367"/>
      <c r="L145" s="520">
        <f t="shared" si="13"/>
      </c>
      <c r="M145" s="169"/>
      <c r="N145" s="199"/>
      <c r="O145" s="199"/>
    </row>
    <row r="146" spans="1:15" s="1" customFormat="1" ht="12.75">
      <c r="A146" s="224">
        <v>219061</v>
      </c>
      <c r="B146" s="9" t="s">
        <v>563</v>
      </c>
      <c r="C146" s="20"/>
      <c r="D146" s="72">
        <v>0</v>
      </c>
      <c r="E146" s="72"/>
      <c r="F146" s="95"/>
      <c r="G146" s="378">
        <f t="shared" si="14"/>
        <v>0</v>
      </c>
      <c r="H146" s="38"/>
      <c r="I146" s="48"/>
      <c r="J146" s="48"/>
      <c r="K146" s="367"/>
      <c r="L146" s="520">
        <f t="shared" si="13"/>
      </c>
      <c r="M146" s="169"/>
      <c r="N146" s="199"/>
      <c r="O146" s="199"/>
    </row>
    <row r="147" spans="1:15" s="1" customFormat="1" ht="12.75">
      <c r="A147" s="224">
        <v>219063</v>
      </c>
      <c r="B147" s="9" t="s">
        <v>610</v>
      </c>
      <c r="C147" s="20"/>
      <c r="D147" s="72"/>
      <c r="E147" s="72"/>
      <c r="F147" s="95"/>
      <c r="G147" s="378">
        <f t="shared" si="14"/>
        <v>0</v>
      </c>
      <c r="H147" s="38"/>
      <c r="I147" s="41"/>
      <c r="J147" s="41"/>
      <c r="K147" s="367"/>
      <c r="L147" s="520">
        <f t="shared" si="13"/>
      </c>
      <c r="M147" s="169"/>
      <c r="N147" s="199"/>
      <c r="O147" s="199"/>
    </row>
    <row r="148" spans="1:15" s="1" customFormat="1" ht="12.75">
      <c r="A148" s="224">
        <v>219069</v>
      </c>
      <c r="B148" s="9" t="s">
        <v>564</v>
      </c>
      <c r="C148" s="20" t="s">
        <v>416</v>
      </c>
      <c r="D148" s="72"/>
      <c r="E148" s="72"/>
      <c r="F148" s="95"/>
      <c r="G148" s="378">
        <f t="shared" si="14"/>
        <v>0</v>
      </c>
      <c r="H148" s="38"/>
      <c r="I148" s="41"/>
      <c r="J148" s="41"/>
      <c r="K148" s="367"/>
      <c r="L148" s="520">
        <f t="shared" si="13"/>
      </c>
      <c r="M148" s="169"/>
      <c r="N148" s="199"/>
      <c r="O148" s="199"/>
    </row>
    <row r="149" spans="1:15" s="1" customFormat="1" ht="12.75">
      <c r="A149" s="224">
        <v>219077</v>
      </c>
      <c r="B149" s="9" t="s">
        <v>598</v>
      </c>
      <c r="C149" s="20"/>
      <c r="D149" s="72"/>
      <c r="E149" s="72"/>
      <c r="F149" s="95"/>
      <c r="G149" s="378">
        <f t="shared" si="14"/>
        <v>0</v>
      </c>
      <c r="H149" s="38"/>
      <c r="I149" s="41"/>
      <c r="J149" s="41"/>
      <c r="K149" s="367"/>
      <c r="L149" s="520">
        <f t="shared" si="13"/>
      </c>
      <c r="M149" s="169"/>
      <c r="N149" s="199"/>
      <c r="O149" s="199"/>
    </row>
    <row r="150" spans="1:15" s="1" customFormat="1" ht="12.75">
      <c r="A150" s="224">
        <v>219078</v>
      </c>
      <c r="B150" s="9" t="s">
        <v>568</v>
      </c>
      <c r="C150" s="20"/>
      <c r="D150" s="72"/>
      <c r="E150" s="72"/>
      <c r="F150" s="95"/>
      <c r="G150" s="378">
        <f t="shared" si="14"/>
        <v>0</v>
      </c>
      <c r="H150" s="38"/>
      <c r="I150" s="41"/>
      <c r="J150" s="41"/>
      <c r="K150" s="367"/>
      <c r="L150" s="520">
        <f t="shared" si="13"/>
      </c>
      <c r="M150" s="169"/>
      <c r="N150" s="199"/>
      <c r="O150" s="199"/>
    </row>
    <row r="151" spans="1:15" s="1" customFormat="1" ht="13.5" thickBot="1">
      <c r="A151" s="231" t="s">
        <v>401</v>
      </c>
      <c r="B151" s="6"/>
      <c r="C151" s="22"/>
      <c r="D151" s="44"/>
      <c r="E151" s="71"/>
      <c r="F151" s="90" t="s">
        <v>570</v>
      </c>
      <c r="G151" s="383">
        <f>SUM(G103:G150)</f>
        <v>0</v>
      </c>
      <c r="H151" s="38"/>
      <c r="I151" s="44"/>
      <c r="J151" s="44"/>
      <c r="K151" s="366"/>
      <c r="L151" s="383">
        <f>SUM(L103:L150)</f>
        <v>0</v>
      </c>
      <c r="M151" s="169"/>
      <c r="N151" s="199"/>
      <c r="O151" s="199"/>
    </row>
    <row r="152" spans="1:15" s="1" customFormat="1" ht="0.75" customHeight="1" thickTop="1">
      <c r="A152" s="226"/>
      <c r="B152" s="6"/>
      <c r="C152" s="21"/>
      <c r="D152" s="44"/>
      <c r="E152" s="71"/>
      <c r="F152" s="90"/>
      <c r="G152" s="198"/>
      <c r="H152" s="38"/>
      <c r="I152" s="44"/>
      <c r="J152" s="44"/>
      <c r="K152" s="366"/>
      <c r="L152" s="516"/>
      <c r="M152" s="169"/>
      <c r="N152" s="199"/>
      <c r="O152" s="199"/>
    </row>
    <row r="153" spans="1:15" s="1" customFormat="1" ht="24.75" customHeight="1" thickTop="1">
      <c r="A153" s="228" t="s">
        <v>519</v>
      </c>
      <c r="B153" s="2"/>
      <c r="C153" s="21"/>
      <c r="D153" s="171" t="s">
        <v>422</v>
      </c>
      <c r="E153" s="172" t="s">
        <v>423</v>
      </c>
      <c r="F153" s="171" t="s">
        <v>424</v>
      </c>
      <c r="G153" s="171" t="s">
        <v>425</v>
      </c>
      <c r="H153" s="171" t="s">
        <v>426</v>
      </c>
      <c r="I153" s="173" t="s">
        <v>427</v>
      </c>
      <c r="J153" s="173"/>
      <c r="K153" s="366"/>
      <c r="L153" s="518" t="s">
        <v>688</v>
      </c>
      <c r="M153" s="169"/>
      <c r="N153" s="199"/>
      <c r="O153" s="199"/>
    </row>
    <row r="154" spans="1:15" s="1" customFormat="1" ht="12.75">
      <c r="A154" s="224">
        <v>311116</v>
      </c>
      <c r="B154" s="9" t="s">
        <v>200</v>
      </c>
      <c r="C154" s="20"/>
      <c r="D154" s="72"/>
      <c r="E154" s="72"/>
      <c r="F154" s="95"/>
      <c r="G154" s="377">
        <f aca="true" t="shared" si="15" ref="G154:G194">IF(X=0,(IF(Me=0,Sa,Me*Sa)),(IF(Me=0,Sa*X,Me*X*Sa)))</f>
        <v>0</v>
      </c>
      <c r="H154" s="375">
        <f aca="true" t="shared" si="16" ref="H154:H194">IF(Sum,Sos,0)</f>
        <v>0</v>
      </c>
      <c r="I154" s="376">
        <f aca="true" t="shared" si="17" ref="I154:I194">IF(Prosent&lt;&gt;0,(Sum*Prosent)/100,0)</f>
        <v>0</v>
      </c>
      <c r="J154" s="41"/>
      <c r="K154" s="367"/>
      <c r="L154" s="520">
        <f aca="true" t="shared" si="18" ref="L154:L218">IF(FMVA&lt;&gt;"",(Sum*mva)-Sum,"")</f>
      </c>
      <c r="M154" s="169"/>
      <c r="N154" s="199"/>
      <c r="O154" s="199"/>
    </row>
    <row r="155" spans="1:15" s="1" customFormat="1" ht="12.75">
      <c r="A155" s="224">
        <v>311120</v>
      </c>
      <c r="B155" s="9" t="s">
        <v>571</v>
      </c>
      <c r="C155" s="20"/>
      <c r="D155" s="72"/>
      <c r="E155" s="72"/>
      <c r="F155" s="95"/>
      <c r="G155" s="378">
        <f t="shared" si="15"/>
        <v>0</v>
      </c>
      <c r="H155" s="375">
        <f t="shared" si="16"/>
        <v>0</v>
      </c>
      <c r="I155" s="376">
        <f t="shared" si="17"/>
        <v>0</v>
      </c>
      <c r="J155" s="41"/>
      <c r="K155" s="367"/>
      <c r="L155" s="520">
        <f t="shared" si="18"/>
      </c>
      <c r="M155" s="169"/>
      <c r="N155" s="199"/>
      <c r="O155" s="199"/>
    </row>
    <row r="156" spans="1:15" s="1" customFormat="1" ht="12.75">
      <c r="A156" s="224">
        <v>311122</v>
      </c>
      <c r="B156" s="12" t="s">
        <v>611</v>
      </c>
      <c r="C156" s="20"/>
      <c r="D156" s="72"/>
      <c r="E156" s="72"/>
      <c r="F156" s="95"/>
      <c r="G156" s="378">
        <f t="shared" si="15"/>
        <v>0</v>
      </c>
      <c r="H156" s="375">
        <f t="shared" si="16"/>
        <v>0</v>
      </c>
      <c r="I156" s="376">
        <f t="shared" si="17"/>
        <v>0</v>
      </c>
      <c r="J156" s="41"/>
      <c r="K156" s="367"/>
      <c r="L156" s="520">
        <f t="shared" si="18"/>
      </c>
      <c r="M156" s="169"/>
      <c r="N156" s="199"/>
      <c r="O156" s="199"/>
    </row>
    <row r="157" spans="1:15" s="1" customFormat="1" ht="12.75">
      <c r="A157" s="224">
        <v>311123</v>
      </c>
      <c r="B157" s="9" t="s">
        <v>612</v>
      </c>
      <c r="C157" s="20"/>
      <c r="D157" s="55"/>
      <c r="E157" s="72"/>
      <c r="F157" s="381">
        <f>IF(D157=0,0,+G156)</f>
        <v>0</v>
      </c>
      <c r="G157" s="378">
        <f t="shared" si="15"/>
        <v>0</v>
      </c>
      <c r="H157" s="375">
        <f t="shared" si="16"/>
        <v>0</v>
      </c>
      <c r="I157" s="376">
        <f t="shared" si="17"/>
        <v>0</v>
      </c>
      <c r="J157" s="41"/>
      <c r="K157" s="367"/>
      <c r="L157" s="520">
        <f t="shared" si="18"/>
      </c>
      <c r="M157" s="169"/>
      <c r="N157" s="199"/>
      <c r="O157" s="199"/>
    </row>
    <row r="158" spans="1:15" s="1" customFormat="1" ht="12.75">
      <c r="A158" s="224">
        <v>311124</v>
      </c>
      <c r="B158" s="12" t="s">
        <v>613</v>
      </c>
      <c r="C158" s="20"/>
      <c r="D158" s="72"/>
      <c r="E158" s="72"/>
      <c r="F158" s="95"/>
      <c r="G158" s="378">
        <f t="shared" si="15"/>
        <v>0</v>
      </c>
      <c r="H158" s="375">
        <f t="shared" si="16"/>
        <v>0</v>
      </c>
      <c r="I158" s="376">
        <f t="shared" si="17"/>
        <v>0</v>
      </c>
      <c r="J158" s="41"/>
      <c r="K158" s="367"/>
      <c r="L158" s="520">
        <f t="shared" si="18"/>
      </c>
      <c r="M158" s="169"/>
      <c r="N158" s="199"/>
      <c r="O158" s="199"/>
    </row>
    <row r="159" spans="1:15" s="1" customFormat="1" ht="12.75">
      <c r="A159" s="224">
        <v>311125</v>
      </c>
      <c r="B159" s="9" t="s">
        <v>614</v>
      </c>
      <c r="C159" s="20"/>
      <c r="D159" s="55"/>
      <c r="E159" s="72"/>
      <c r="F159" s="381">
        <f>IF(D159=0,0,+G158)</f>
        <v>0</v>
      </c>
      <c r="G159" s="378">
        <f t="shared" si="15"/>
        <v>0</v>
      </c>
      <c r="H159" s="375">
        <f t="shared" si="16"/>
        <v>0</v>
      </c>
      <c r="I159" s="376">
        <f t="shared" si="17"/>
        <v>0</v>
      </c>
      <c r="J159" s="41"/>
      <c r="K159" s="367"/>
      <c r="L159" s="520">
        <f t="shared" si="18"/>
      </c>
      <c r="M159" s="169"/>
      <c r="N159" s="199"/>
      <c r="O159" s="199"/>
    </row>
    <row r="160" spans="1:15" s="1" customFormat="1" ht="12.75">
      <c r="A160" s="224">
        <v>311126</v>
      </c>
      <c r="B160" s="9" t="s">
        <v>572</v>
      </c>
      <c r="C160" s="20"/>
      <c r="D160" s="72"/>
      <c r="E160" s="72"/>
      <c r="F160" s="95"/>
      <c r="G160" s="378">
        <f t="shared" si="15"/>
        <v>0</v>
      </c>
      <c r="H160" s="375">
        <f t="shared" si="16"/>
        <v>0</v>
      </c>
      <c r="I160" s="376">
        <f t="shared" si="17"/>
        <v>0</v>
      </c>
      <c r="J160" s="41"/>
      <c r="K160" s="367"/>
      <c r="L160" s="520">
        <f t="shared" si="18"/>
      </c>
      <c r="M160" s="169"/>
      <c r="N160" s="199"/>
      <c r="O160" s="199"/>
    </row>
    <row r="161" spans="1:15" s="1" customFormat="1" ht="12.75">
      <c r="A161" s="224">
        <v>311127</v>
      </c>
      <c r="B161" s="9" t="s">
        <v>573</v>
      </c>
      <c r="C161" s="20"/>
      <c r="D161" s="55"/>
      <c r="E161" s="72"/>
      <c r="F161" s="381">
        <f>IF(D161=0,0,+G160)</f>
        <v>0</v>
      </c>
      <c r="G161" s="378">
        <f t="shared" si="15"/>
        <v>0</v>
      </c>
      <c r="H161" s="375">
        <f t="shared" si="16"/>
        <v>0</v>
      </c>
      <c r="I161" s="376">
        <f t="shared" si="17"/>
        <v>0</v>
      </c>
      <c r="J161" s="41"/>
      <c r="K161" s="367"/>
      <c r="L161" s="520">
        <f t="shared" si="18"/>
      </c>
      <c r="M161" s="169"/>
      <c r="N161" s="199"/>
      <c r="O161" s="199"/>
    </row>
    <row r="162" spans="1:15" s="1" customFormat="1" ht="12.75">
      <c r="A162" s="224">
        <v>311130</v>
      </c>
      <c r="B162" s="12" t="s">
        <v>429</v>
      </c>
      <c r="C162" s="20"/>
      <c r="D162" s="72"/>
      <c r="E162" s="72"/>
      <c r="F162" s="95"/>
      <c r="G162" s="378">
        <f t="shared" si="15"/>
        <v>0</v>
      </c>
      <c r="H162" s="375">
        <f t="shared" si="16"/>
        <v>0</v>
      </c>
      <c r="I162" s="376">
        <f t="shared" si="17"/>
        <v>0</v>
      </c>
      <c r="J162" s="41"/>
      <c r="K162" s="367"/>
      <c r="L162" s="520">
        <f t="shared" si="18"/>
      </c>
      <c r="M162" s="169"/>
      <c r="N162" s="199"/>
      <c r="O162" s="199"/>
    </row>
    <row r="163" spans="1:15" s="1" customFormat="1" ht="12.75">
      <c r="A163" s="224">
        <v>311131</v>
      </c>
      <c r="B163" s="9" t="s">
        <v>432</v>
      </c>
      <c r="C163" s="20"/>
      <c r="D163" s="55"/>
      <c r="E163" s="72"/>
      <c r="F163" s="381">
        <f>IF(D163=0,0,+G162)</f>
        <v>0</v>
      </c>
      <c r="G163" s="378">
        <f t="shared" si="15"/>
        <v>0</v>
      </c>
      <c r="H163" s="375">
        <f t="shared" si="16"/>
        <v>0</v>
      </c>
      <c r="I163" s="376">
        <f t="shared" si="17"/>
        <v>0</v>
      </c>
      <c r="J163" s="41"/>
      <c r="K163" s="367"/>
      <c r="L163" s="520">
        <f t="shared" si="18"/>
      </c>
      <c r="M163" s="169"/>
      <c r="N163" s="199"/>
      <c r="O163" s="199"/>
    </row>
    <row r="164" spans="1:15" s="1" customFormat="1" ht="12.75">
      <c r="A164" s="224">
        <v>311142</v>
      </c>
      <c r="B164" s="12" t="s">
        <v>615</v>
      </c>
      <c r="C164" s="20"/>
      <c r="D164" s="72"/>
      <c r="E164" s="72"/>
      <c r="F164" s="95"/>
      <c r="G164" s="378">
        <f t="shared" si="15"/>
        <v>0</v>
      </c>
      <c r="H164" s="375">
        <f t="shared" si="16"/>
        <v>0</v>
      </c>
      <c r="I164" s="376">
        <f t="shared" si="17"/>
        <v>0</v>
      </c>
      <c r="J164" s="41"/>
      <c r="K164" s="367"/>
      <c r="L164" s="520">
        <f t="shared" si="18"/>
      </c>
      <c r="M164" s="169"/>
      <c r="N164" s="199"/>
      <c r="O164" s="199"/>
    </row>
    <row r="165" spans="1:15" s="1" customFormat="1" ht="12.75">
      <c r="A165" s="224">
        <v>311143</v>
      </c>
      <c r="B165" s="9" t="s">
        <v>616</v>
      </c>
      <c r="C165" s="20"/>
      <c r="D165" s="55"/>
      <c r="E165" s="72"/>
      <c r="F165" s="381">
        <f>IF(D165=0,0,+G164)</f>
        <v>0</v>
      </c>
      <c r="G165" s="378">
        <f t="shared" si="15"/>
        <v>0</v>
      </c>
      <c r="H165" s="375">
        <f t="shared" si="16"/>
        <v>0</v>
      </c>
      <c r="I165" s="376">
        <f t="shared" si="17"/>
        <v>0</v>
      </c>
      <c r="J165" s="41"/>
      <c r="K165" s="367"/>
      <c r="L165" s="520">
        <f t="shared" si="18"/>
      </c>
      <c r="M165" s="169"/>
      <c r="N165" s="199"/>
      <c r="O165" s="199"/>
    </row>
    <row r="166" spans="1:15" s="1" customFormat="1" ht="12.75">
      <c r="A166" s="224">
        <v>311150</v>
      </c>
      <c r="B166" s="9" t="s">
        <v>617</v>
      </c>
      <c r="C166" s="20"/>
      <c r="D166" s="72"/>
      <c r="E166" s="72"/>
      <c r="F166" s="95"/>
      <c r="G166" s="378">
        <f t="shared" si="15"/>
        <v>0</v>
      </c>
      <c r="H166" s="375">
        <f t="shared" si="16"/>
        <v>0</v>
      </c>
      <c r="I166" s="376">
        <f t="shared" si="17"/>
        <v>0</v>
      </c>
      <c r="J166" s="41"/>
      <c r="K166" s="367"/>
      <c r="L166" s="520">
        <f t="shared" si="18"/>
      </c>
      <c r="M166" s="169"/>
      <c r="N166" s="199"/>
      <c r="O166" s="199"/>
    </row>
    <row r="167" spans="1:15" s="1" customFormat="1" ht="12.75">
      <c r="A167" s="224">
        <v>311151</v>
      </c>
      <c r="B167" s="9" t="s">
        <v>629</v>
      </c>
      <c r="C167" s="20"/>
      <c r="D167" s="55"/>
      <c r="E167" s="72"/>
      <c r="F167" s="381">
        <f>IF(D167=0,0,+G166)</f>
        <v>0</v>
      </c>
      <c r="G167" s="378">
        <f t="shared" si="15"/>
        <v>0</v>
      </c>
      <c r="H167" s="375">
        <f t="shared" si="16"/>
        <v>0</v>
      </c>
      <c r="I167" s="376">
        <f t="shared" si="17"/>
        <v>0</v>
      </c>
      <c r="J167" s="41"/>
      <c r="K167" s="367"/>
      <c r="L167" s="520">
        <f t="shared" si="18"/>
      </c>
      <c r="M167" s="169"/>
      <c r="N167" s="199"/>
      <c r="O167" s="199"/>
    </row>
    <row r="168" spans="1:15" s="1" customFormat="1" ht="12.75">
      <c r="A168" s="224">
        <v>311152</v>
      </c>
      <c r="B168" s="9" t="s">
        <v>630</v>
      </c>
      <c r="C168" s="20"/>
      <c r="D168" s="72"/>
      <c r="E168" s="72"/>
      <c r="F168" s="95"/>
      <c r="G168" s="378">
        <f t="shared" si="15"/>
        <v>0</v>
      </c>
      <c r="H168" s="375">
        <f t="shared" si="16"/>
        <v>0</v>
      </c>
      <c r="I168" s="376">
        <f t="shared" si="17"/>
        <v>0</v>
      </c>
      <c r="J168" s="41"/>
      <c r="K168" s="367"/>
      <c r="L168" s="520">
        <f t="shared" si="18"/>
      </c>
      <c r="M168" s="169"/>
      <c r="N168" s="199"/>
      <c r="O168" s="199"/>
    </row>
    <row r="169" spans="1:15" s="1" customFormat="1" ht="12.75">
      <c r="A169" s="224">
        <v>311153</v>
      </c>
      <c r="B169" s="9" t="s">
        <v>631</v>
      </c>
      <c r="C169" s="20"/>
      <c r="D169" s="55"/>
      <c r="E169" s="72"/>
      <c r="F169" s="381">
        <f>IF(D169=0,0,+G168)</f>
        <v>0</v>
      </c>
      <c r="G169" s="378">
        <f t="shared" si="15"/>
        <v>0</v>
      </c>
      <c r="H169" s="375">
        <f t="shared" si="16"/>
        <v>0</v>
      </c>
      <c r="I169" s="376">
        <f t="shared" si="17"/>
        <v>0</v>
      </c>
      <c r="J169" s="41"/>
      <c r="K169" s="367"/>
      <c r="L169" s="520">
        <f t="shared" si="18"/>
      </c>
      <c r="M169" s="169"/>
      <c r="N169" s="199"/>
      <c r="O169" s="199"/>
    </row>
    <row r="170" spans="1:15" s="1" customFormat="1" ht="12.75">
      <c r="A170" s="224">
        <v>311170</v>
      </c>
      <c r="B170" s="12" t="s">
        <v>632</v>
      </c>
      <c r="C170" s="20"/>
      <c r="D170" s="72"/>
      <c r="E170" s="72"/>
      <c r="F170" s="95"/>
      <c r="G170" s="378">
        <f t="shared" si="15"/>
        <v>0</v>
      </c>
      <c r="H170" s="375">
        <f t="shared" si="16"/>
        <v>0</v>
      </c>
      <c r="I170" s="376">
        <f t="shared" si="17"/>
        <v>0</v>
      </c>
      <c r="J170" s="41"/>
      <c r="K170" s="367"/>
      <c r="L170" s="520">
        <f t="shared" si="18"/>
      </c>
      <c r="M170" s="169"/>
      <c r="N170" s="199"/>
      <c r="O170" s="199"/>
    </row>
    <row r="171" spans="1:15" s="1" customFormat="1" ht="12.75">
      <c r="A171" s="224">
        <v>311171</v>
      </c>
      <c r="B171" s="9" t="s">
        <v>633</v>
      </c>
      <c r="C171" s="20"/>
      <c r="D171" s="55"/>
      <c r="E171" s="72"/>
      <c r="F171" s="381">
        <f>IF(D171=0,0,+G170)</f>
        <v>0</v>
      </c>
      <c r="G171" s="378">
        <f t="shared" si="15"/>
        <v>0</v>
      </c>
      <c r="H171" s="375">
        <f t="shared" si="16"/>
        <v>0</v>
      </c>
      <c r="I171" s="376">
        <f t="shared" si="17"/>
        <v>0</v>
      </c>
      <c r="J171" s="41"/>
      <c r="K171" s="367"/>
      <c r="L171" s="520">
        <f t="shared" si="18"/>
      </c>
      <c r="M171" s="169"/>
      <c r="N171" s="199"/>
      <c r="O171" s="199"/>
    </row>
    <row r="172" spans="1:15" s="1" customFormat="1" ht="12.75">
      <c r="A172" s="224">
        <v>311180</v>
      </c>
      <c r="B172" s="12" t="s">
        <v>634</v>
      </c>
      <c r="C172" s="20"/>
      <c r="D172" s="72"/>
      <c r="E172" s="72"/>
      <c r="F172" s="95"/>
      <c r="G172" s="378">
        <f t="shared" si="15"/>
        <v>0</v>
      </c>
      <c r="H172" s="375">
        <f t="shared" si="16"/>
        <v>0</v>
      </c>
      <c r="I172" s="376">
        <f t="shared" si="17"/>
        <v>0</v>
      </c>
      <c r="J172" s="41"/>
      <c r="K172" s="367"/>
      <c r="L172" s="520">
        <f t="shared" si="18"/>
      </c>
      <c r="M172" s="169"/>
      <c r="N172" s="199"/>
      <c r="O172" s="199"/>
    </row>
    <row r="173" spans="1:15" s="1" customFormat="1" ht="12.75">
      <c r="A173" s="224">
        <v>311181</v>
      </c>
      <c r="B173" s="9" t="s">
        <v>635</v>
      </c>
      <c r="C173" s="20"/>
      <c r="D173" s="55"/>
      <c r="E173" s="72"/>
      <c r="F173" s="381">
        <f>IF(D173=0,0,+G172)</f>
        <v>0</v>
      </c>
      <c r="G173" s="378">
        <f t="shared" si="15"/>
        <v>0</v>
      </c>
      <c r="H173" s="375">
        <f t="shared" si="16"/>
        <v>0</v>
      </c>
      <c r="I173" s="376">
        <f t="shared" si="17"/>
        <v>0</v>
      </c>
      <c r="J173" s="41"/>
      <c r="K173" s="367"/>
      <c r="L173" s="520">
        <f t="shared" si="18"/>
      </c>
      <c r="M173" s="169"/>
      <c r="N173" s="199"/>
      <c r="O173" s="199"/>
    </row>
    <row r="174" spans="1:15" s="1" customFormat="1" ht="12.75">
      <c r="A174" s="224">
        <v>311190</v>
      </c>
      <c r="B174" s="9" t="s">
        <v>636</v>
      </c>
      <c r="C174" s="20"/>
      <c r="D174" s="72"/>
      <c r="E174" s="72"/>
      <c r="F174" s="95"/>
      <c r="G174" s="378">
        <f t="shared" si="15"/>
        <v>0</v>
      </c>
      <c r="H174" s="375">
        <f t="shared" si="16"/>
        <v>0</v>
      </c>
      <c r="I174" s="376">
        <f t="shared" si="17"/>
        <v>0</v>
      </c>
      <c r="J174" s="41"/>
      <c r="K174" s="367"/>
      <c r="L174" s="520">
        <f t="shared" si="18"/>
      </c>
      <c r="M174" s="169"/>
      <c r="N174" s="199"/>
      <c r="O174" s="199"/>
    </row>
    <row r="175" spans="1:15" s="1" customFormat="1" ht="12.75">
      <c r="A175" s="224">
        <v>311191</v>
      </c>
      <c r="B175" s="9" t="s">
        <v>637</v>
      </c>
      <c r="C175" s="20"/>
      <c r="D175" s="55"/>
      <c r="E175" s="72"/>
      <c r="F175" s="381">
        <f>IF(D175=0,0,+G174)</f>
        <v>0</v>
      </c>
      <c r="G175" s="378">
        <f t="shared" si="15"/>
        <v>0</v>
      </c>
      <c r="H175" s="375">
        <f t="shared" si="16"/>
        <v>0</v>
      </c>
      <c r="I175" s="376">
        <f t="shared" si="17"/>
        <v>0</v>
      </c>
      <c r="J175" s="41"/>
      <c r="K175" s="367"/>
      <c r="L175" s="520">
        <f t="shared" si="18"/>
      </c>
      <c r="M175" s="169"/>
      <c r="N175" s="199"/>
      <c r="O175" s="199"/>
    </row>
    <row r="176" spans="1:15" s="1" customFormat="1" ht="12.75">
      <c r="A176" s="224">
        <v>313720</v>
      </c>
      <c r="B176" s="9" t="s">
        <v>383</v>
      </c>
      <c r="C176" s="20"/>
      <c r="D176" s="72"/>
      <c r="E176" s="72"/>
      <c r="F176" s="95"/>
      <c r="G176" s="378">
        <f t="shared" si="15"/>
        <v>0</v>
      </c>
      <c r="H176" s="375">
        <f t="shared" si="16"/>
        <v>0</v>
      </c>
      <c r="I176" s="376">
        <f t="shared" si="17"/>
        <v>0</v>
      </c>
      <c r="J176" s="41"/>
      <c r="K176" s="367"/>
      <c r="L176" s="520">
        <f t="shared" si="18"/>
      </c>
      <c r="M176" s="169"/>
      <c r="N176" s="199"/>
      <c r="O176" s="199"/>
    </row>
    <row r="177" spans="1:15" s="1" customFormat="1" ht="12.75">
      <c r="A177" s="224">
        <v>313721</v>
      </c>
      <c r="B177" s="9" t="s">
        <v>384</v>
      </c>
      <c r="C177" s="20"/>
      <c r="D177" s="55"/>
      <c r="E177" s="72"/>
      <c r="F177" s="381">
        <f>IF(D177=0,0,+G176)</f>
        <v>0</v>
      </c>
      <c r="G177" s="378">
        <f t="shared" si="15"/>
        <v>0</v>
      </c>
      <c r="H177" s="375">
        <f t="shared" si="16"/>
        <v>0</v>
      </c>
      <c r="I177" s="376">
        <f t="shared" si="17"/>
        <v>0</v>
      </c>
      <c r="J177" s="41"/>
      <c r="K177" s="367"/>
      <c r="L177" s="520">
        <f t="shared" si="18"/>
      </c>
      <c r="M177" s="169"/>
      <c r="N177" s="199"/>
      <c r="O177" s="199"/>
    </row>
    <row r="178" spans="1:15" s="1" customFormat="1" ht="12.75">
      <c r="A178" s="224">
        <v>314010</v>
      </c>
      <c r="B178" s="12" t="s">
        <v>550</v>
      </c>
      <c r="C178" s="20"/>
      <c r="D178" s="72"/>
      <c r="E178" s="72"/>
      <c r="F178" s="95"/>
      <c r="G178" s="378">
        <f t="shared" si="15"/>
        <v>0</v>
      </c>
      <c r="H178" s="375">
        <f t="shared" si="16"/>
        <v>0</v>
      </c>
      <c r="I178" s="376">
        <f t="shared" si="17"/>
        <v>0</v>
      </c>
      <c r="J178" s="41"/>
      <c r="K178" s="367"/>
      <c r="L178" s="520">
        <f t="shared" si="18"/>
      </c>
      <c r="M178" s="169"/>
      <c r="N178" s="199"/>
      <c r="O178" s="199"/>
    </row>
    <row r="179" spans="1:15" s="1" customFormat="1" ht="12.75">
      <c r="A179" s="224">
        <v>314012</v>
      </c>
      <c r="B179" s="9" t="s">
        <v>638</v>
      </c>
      <c r="C179" s="20"/>
      <c r="D179" s="72"/>
      <c r="E179" s="72"/>
      <c r="F179" s="95"/>
      <c r="G179" s="378">
        <f t="shared" si="15"/>
        <v>0</v>
      </c>
      <c r="H179" s="375">
        <f t="shared" si="16"/>
        <v>0</v>
      </c>
      <c r="I179" s="376">
        <f t="shared" si="17"/>
        <v>0</v>
      </c>
      <c r="J179" s="41"/>
      <c r="K179" s="367"/>
      <c r="L179" s="520">
        <f t="shared" si="18"/>
      </c>
      <c r="M179" s="169"/>
      <c r="N179" s="199"/>
      <c r="O179" s="199"/>
    </row>
    <row r="180" spans="1:15" s="1" customFormat="1" ht="12.75">
      <c r="A180" s="224">
        <v>314013</v>
      </c>
      <c r="B180" s="12" t="s">
        <v>639</v>
      </c>
      <c r="C180" s="20"/>
      <c r="D180" s="55"/>
      <c r="E180" s="72"/>
      <c r="F180" s="381">
        <f>IF(D180=0,0,+G179)</f>
        <v>0</v>
      </c>
      <c r="G180" s="378">
        <f t="shared" si="15"/>
        <v>0</v>
      </c>
      <c r="H180" s="375">
        <f t="shared" si="16"/>
        <v>0</v>
      </c>
      <c r="I180" s="376">
        <f t="shared" si="17"/>
        <v>0</v>
      </c>
      <c r="J180" s="41"/>
      <c r="K180" s="367"/>
      <c r="L180" s="520">
        <f t="shared" si="18"/>
      </c>
      <c r="M180" s="169"/>
      <c r="N180" s="199"/>
      <c r="O180" s="199"/>
    </row>
    <row r="181" spans="1:15" s="1" customFormat="1" ht="12.75">
      <c r="A181" s="224">
        <v>314014</v>
      </c>
      <c r="B181" s="9" t="s">
        <v>588</v>
      </c>
      <c r="C181" s="20"/>
      <c r="D181" s="72"/>
      <c r="E181" s="72"/>
      <c r="F181" s="95"/>
      <c r="G181" s="378">
        <f t="shared" si="15"/>
        <v>0</v>
      </c>
      <c r="H181" s="375">
        <f t="shared" si="16"/>
        <v>0</v>
      </c>
      <c r="I181" s="376">
        <f t="shared" si="17"/>
        <v>0</v>
      </c>
      <c r="J181" s="41"/>
      <c r="K181" s="367"/>
      <c r="L181" s="520">
        <f t="shared" si="18"/>
      </c>
      <c r="M181" s="169"/>
      <c r="N181" s="199"/>
      <c r="O181" s="199"/>
    </row>
    <row r="182" spans="1:15" s="1" customFormat="1" ht="12.75">
      <c r="A182" s="224">
        <v>314015</v>
      </c>
      <c r="B182" s="9" t="s">
        <v>589</v>
      </c>
      <c r="C182" s="20"/>
      <c r="D182" s="55"/>
      <c r="E182" s="72"/>
      <c r="F182" s="381">
        <f>IF(D182=0,0,+G181)</f>
        <v>0</v>
      </c>
      <c r="G182" s="378">
        <f t="shared" si="15"/>
        <v>0</v>
      </c>
      <c r="H182" s="375">
        <f t="shared" si="16"/>
        <v>0</v>
      </c>
      <c r="I182" s="376">
        <f t="shared" si="17"/>
        <v>0</v>
      </c>
      <c r="J182" s="41"/>
      <c r="K182" s="367"/>
      <c r="L182" s="520">
        <f t="shared" si="18"/>
      </c>
      <c r="M182" s="169"/>
      <c r="N182" s="199"/>
      <c r="O182" s="199"/>
    </row>
    <row r="183" spans="1:15" s="1" customFormat="1" ht="12.75">
      <c r="A183" s="224">
        <v>314020</v>
      </c>
      <c r="B183" s="9" t="s">
        <v>640</v>
      </c>
      <c r="C183" s="20"/>
      <c r="D183" s="72"/>
      <c r="E183" s="72"/>
      <c r="F183" s="95"/>
      <c r="G183" s="378">
        <f t="shared" si="15"/>
        <v>0</v>
      </c>
      <c r="H183" s="375">
        <f t="shared" si="16"/>
        <v>0</v>
      </c>
      <c r="I183" s="376">
        <f t="shared" si="17"/>
        <v>0</v>
      </c>
      <c r="J183" s="41"/>
      <c r="K183" s="367"/>
      <c r="L183" s="520">
        <f t="shared" si="18"/>
      </c>
      <c r="M183" s="169"/>
      <c r="N183" s="199"/>
      <c r="O183" s="199"/>
    </row>
    <row r="184" spans="1:15" s="1" customFormat="1" ht="12.75">
      <c r="A184" s="224">
        <v>314022</v>
      </c>
      <c r="B184" s="9" t="s">
        <v>641</v>
      </c>
      <c r="C184" s="20"/>
      <c r="D184" s="72"/>
      <c r="E184" s="72"/>
      <c r="F184" s="95"/>
      <c r="G184" s="378">
        <f t="shared" si="15"/>
        <v>0</v>
      </c>
      <c r="H184" s="375">
        <f t="shared" si="16"/>
        <v>0</v>
      </c>
      <c r="I184" s="376">
        <f t="shared" si="17"/>
        <v>0</v>
      </c>
      <c r="J184" s="41"/>
      <c r="K184" s="367"/>
      <c r="L184" s="520">
        <f t="shared" si="18"/>
      </c>
      <c r="M184" s="169"/>
      <c r="N184" s="199"/>
      <c r="O184" s="199"/>
    </row>
    <row r="185" spans="1:15" s="1" customFormat="1" ht="12.75">
      <c r="A185" s="224">
        <v>314023</v>
      </c>
      <c r="B185" s="9" t="s">
        <v>642</v>
      </c>
      <c r="C185" s="20"/>
      <c r="D185" s="55"/>
      <c r="E185" s="72"/>
      <c r="F185" s="381">
        <f>IF(D185=0,0,+G184)</f>
        <v>0</v>
      </c>
      <c r="G185" s="378">
        <f t="shared" si="15"/>
        <v>0</v>
      </c>
      <c r="H185" s="375">
        <f t="shared" si="16"/>
        <v>0</v>
      </c>
      <c r="I185" s="376">
        <f t="shared" si="17"/>
        <v>0</v>
      </c>
      <c r="J185" s="41"/>
      <c r="K185" s="367"/>
      <c r="L185" s="520">
        <f t="shared" si="18"/>
      </c>
      <c r="M185" s="169"/>
      <c r="N185" s="199"/>
      <c r="O185" s="199"/>
    </row>
    <row r="186" spans="1:15" s="1" customFormat="1" ht="12.75">
      <c r="A186" s="224">
        <v>314030</v>
      </c>
      <c r="B186" s="9" t="s">
        <v>643</v>
      </c>
      <c r="C186" s="20"/>
      <c r="D186" s="72"/>
      <c r="E186" s="72"/>
      <c r="F186" s="95"/>
      <c r="G186" s="378">
        <f t="shared" si="15"/>
        <v>0</v>
      </c>
      <c r="H186" s="375">
        <f t="shared" si="16"/>
        <v>0</v>
      </c>
      <c r="I186" s="376">
        <f t="shared" si="17"/>
        <v>0</v>
      </c>
      <c r="J186" s="41"/>
      <c r="K186" s="367"/>
      <c r="L186" s="520">
        <f t="shared" si="18"/>
      </c>
      <c r="M186" s="169"/>
      <c r="N186" s="199"/>
      <c r="O186" s="199"/>
    </row>
    <row r="187" spans="1:15" s="1" customFormat="1" ht="12.75">
      <c r="A187" s="224">
        <v>314031</v>
      </c>
      <c r="B187" s="9" t="s">
        <v>644</v>
      </c>
      <c r="C187" s="20"/>
      <c r="D187" s="55"/>
      <c r="E187" s="72"/>
      <c r="F187" s="381">
        <f>IF(D187=0,0,+G186)</f>
        <v>0</v>
      </c>
      <c r="G187" s="378">
        <f t="shared" si="15"/>
        <v>0</v>
      </c>
      <c r="H187" s="375">
        <f t="shared" si="16"/>
        <v>0</v>
      </c>
      <c r="I187" s="376">
        <f t="shared" si="17"/>
        <v>0</v>
      </c>
      <c r="J187" s="41"/>
      <c r="K187" s="367"/>
      <c r="L187" s="520">
        <f t="shared" si="18"/>
      </c>
      <c r="M187" s="169"/>
      <c r="N187" s="199"/>
      <c r="O187" s="199"/>
    </row>
    <row r="188" spans="1:15" s="1" customFormat="1" ht="12.75">
      <c r="A188" s="224">
        <v>314040</v>
      </c>
      <c r="B188" s="12" t="s">
        <v>645</v>
      </c>
      <c r="C188" s="20"/>
      <c r="D188" s="72"/>
      <c r="E188" s="72"/>
      <c r="F188" s="95"/>
      <c r="G188" s="378">
        <f t="shared" si="15"/>
        <v>0</v>
      </c>
      <c r="H188" s="375">
        <f t="shared" si="16"/>
        <v>0</v>
      </c>
      <c r="I188" s="376">
        <f t="shared" si="17"/>
        <v>0</v>
      </c>
      <c r="J188" s="41"/>
      <c r="K188" s="367"/>
      <c r="L188" s="520">
        <f t="shared" si="18"/>
      </c>
      <c r="M188" s="169"/>
      <c r="N188" s="199"/>
      <c r="O188" s="199"/>
    </row>
    <row r="189" spans="1:15" s="1" customFormat="1" ht="12.75">
      <c r="A189" s="224">
        <v>314041</v>
      </c>
      <c r="B189" s="9" t="s">
        <v>646</v>
      </c>
      <c r="C189" s="20"/>
      <c r="D189" s="55"/>
      <c r="E189" s="72"/>
      <c r="F189" s="381">
        <f>IF(D189=0,0,+G188)</f>
        <v>0</v>
      </c>
      <c r="G189" s="378">
        <f t="shared" si="15"/>
        <v>0</v>
      </c>
      <c r="H189" s="375">
        <f t="shared" si="16"/>
        <v>0</v>
      </c>
      <c r="I189" s="376">
        <f t="shared" si="17"/>
        <v>0</v>
      </c>
      <c r="J189" s="41"/>
      <c r="K189" s="367"/>
      <c r="L189" s="520">
        <f t="shared" si="18"/>
      </c>
      <c r="M189" s="169"/>
      <c r="N189" s="199"/>
      <c r="O189" s="199"/>
    </row>
    <row r="190" spans="1:15" s="1" customFormat="1" ht="12.75">
      <c r="A190" s="224">
        <v>314050</v>
      </c>
      <c r="B190" s="9" t="s">
        <v>139</v>
      </c>
      <c r="C190" s="20"/>
      <c r="D190" s="72"/>
      <c r="E190" s="72"/>
      <c r="F190" s="99"/>
      <c r="G190" s="378">
        <f t="shared" si="15"/>
        <v>0</v>
      </c>
      <c r="H190" s="375">
        <f t="shared" si="16"/>
        <v>0</v>
      </c>
      <c r="I190" s="376">
        <f t="shared" si="17"/>
        <v>0</v>
      </c>
      <c r="J190" s="41"/>
      <c r="K190" s="367"/>
      <c r="L190" s="520">
        <f t="shared" si="18"/>
      </c>
      <c r="M190" s="169"/>
      <c r="N190" s="199"/>
      <c r="O190" s="199"/>
    </row>
    <row r="191" spans="1:15" s="1" customFormat="1" ht="12.75">
      <c r="A191" s="224">
        <v>314052</v>
      </c>
      <c r="B191" s="9" t="s">
        <v>140</v>
      </c>
      <c r="C191" s="20"/>
      <c r="D191" s="72"/>
      <c r="E191" s="72"/>
      <c r="F191" s="99"/>
      <c r="G191" s="378">
        <f t="shared" si="15"/>
        <v>0</v>
      </c>
      <c r="H191" s="375">
        <f t="shared" si="16"/>
        <v>0</v>
      </c>
      <c r="I191" s="376">
        <f t="shared" si="17"/>
        <v>0</v>
      </c>
      <c r="J191" s="41"/>
      <c r="K191" s="367"/>
      <c r="L191" s="520">
        <f t="shared" si="18"/>
      </c>
      <c r="M191" s="169"/>
      <c r="N191" s="199"/>
      <c r="O191" s="199"/>
    </row>
    <row r="192" spans="1:15" s="1" customFormat="1" ht="12.75">
      <c r="A192" s="224">
        <v>314090</v>
      </c>
      <c r="B192" s="12" t="s">
        <v>552</v>
      </c>
      <c r="C192" s="20"/>
      <c r="D192" s="72"/>
      <c r="E192" s="72"/>
      <c r="F192" s="95"/>
      <c r="G192" s="378">
        <f t="shared" si="15"/>
        <v>0</v>
      </c>
      <c r="H192" s="375">
        <f t="shared" si="16"/>
        <v>0</v>
      </c>
      <c r="I192" s="376">
        <f t="shared" si="17"/>
        <v>0</v>
      </c>
      <c r="J192" s="41"/>
      <c r="K192" s="367"/>
      <c r="L192" s="520">
        <f t="shared" si="18"/>
      </c>
      <c r="M192" s="169"/>
      <c r="N192" s="199"/>
      <c r="O192" s="199"/>
    </row>
    <row r="193" spans="1:15" s="1" customFormat="1" ht="12.75">
      <c r="A193" s="224">
        <v>314091</v>
      </c>
      <c r="B193" s="9" t="s">
        <v>553</v>
      </c>
      <c r="C193" s="20"/>
      <c r="D193" s="55"/>
      <c r="E193" s="72"/>
      <c r="F193" s="381">
        <f>IF(D193=0,0,+G192)</f>
        <v>0</v>
      </c>
      <c r="G193" s="378">
        <f t="shared" si="15"/>
        <v>0</v>
      </c>
      <c r="H193" s="375">
        <f t="shared" si="16"/>
        <v>0</v>
      </c>
      <c r="I193" s="376">
        <f t="shared" si="17"/>
        <v>0</v>
      </c>
      <c r="J193" s="41"/>
      <c r="K193" s="367"/>
      <c r="L193" s="520">
        <f t="shared" si="18"/>
      </c>
      <c r="M193" s="169"/>
      <c r="N193" s="199"/>
      <c r="O193" s="199"/>
    </row>
    <row r="194" spans="1:15" s="1" customFormat="1" ht="12.75">
      <c r="A194" s="224">
        <v>314092</v>
      </c>
      <c r="B194" s="12" t="s">
        <v>590</v>
      </c>
      <c r="C194" s="20"/>
      <c r="D194" s="72"/>
      <c r="E194" s="72"/>
      <c r="F194" s="95"/>
      <c r="G194" s="378">
        <f t="shared" si="15"/>
        <v>0</v>
      </c>
      <c r="H194" s="375">
        <f t="shared" si="16"/>
        <v>0</v>
      </c>
      <c r="I194" s="376">
        <f t="shared" si="17"/>
        <v>0</v>
      </c>
      <c r="J194" s="41"/>
      <c r="K194" s="367"/>
      <c r="L194" s="520">
        <f t="shared" si="18"/>
      </c>
      <c r="M194" s="169"/>
      <c r="N194" s="199"/>
      <c r="O194" s="199"/>
    </row>
    <row r="195" spans="1:15" s="1" customFormat="1" ht="12.75">
      <c r="A195" s="224">
        <v>314095</v>
      </c>
      <c r="B195" s="9" t="s">
        <v>554</v>
      </c>
      <c r="C195" s="20"/>
      <c r="D195" s="73"/>
      <c r="E195" s="73"/>
      <c r="F195" s="94"/>
      <c r="G195" s="384">
        <f>SUM(I154:I194)</f>
        <v>0</v>
      </c>
      <c r="H195" s="38"/>
      <c r="I195" s="39" t="s">
        <v>555</v>
      </c>
      <c r="J195" s="39"/>
      <c r="K195" s="572"/>
      <c r="L195" s="520"/>
      <c r="M195" s="169"/>
      <c r="N195" s="199"/>
      <c r="O195" s="199"/>
    </row>
    <row r="196" spans="1:15" s="1" customFormat="1" ht="12.75">
      <c r="A196" s="224">
        <v>316122</v>
      </c>
      <c r="B196" s="9" t="s">
        <v>1</v>
      </c>
      <c r="C196" s="20"/>
      <c r="D196" s="72"/>
      <c r="E196" s="72"/>
      <c r="F196" s="95"/>
      <c r="G196" s="378">
        <f aca="true" t="shared" si="19" ref="G196:G231">IF(X=0,(IF(Me=0,Sa,Me*Sa)),(IF(Me=0,Sa*X,Me*X*Sa)))</f>
        <v>0</v>
      </c>
      <c r="H196" s="38"/>
      <c r="I196" s="41"/>
      <c r="J196" s="41"/>
      <c r="K196" s="367"/>
      <c r="L196" s="520">
        <f t="shared" si="18"/>
      </c>
      <c r="M196" s="169"/>
      <c r="N196" s="199"/>
      <c r="O196" s="199"/>
    </row>
    <row r="197" spans="1:15" s="1" customFormat="1" ht="12.75">
      <c r="A197" s="224">
        <v>316130</v>
      </c>
      <c r="B197" s="9" t="s">
        <v>2</v>
      </c>
      <c r="C197" s="20"/>
      <c r="D197" s="72"/>
      <c r="E197" s="72"/>
      <c r="F197" s="95"/>
      <c r="G197" s="378">
        <f t="shared" si="19"/>
        <v>0</v>
      </c>
      <c r="H197" s="38"/>
      <c r="I197" s="41"/>
      <c r="J197" s="41"/>
      <c r="K197" s="367"/>
      <c r="L197" s="520">
        <f t="shared" si="18"/>
      </c>
      <c r="M197" s="169"/>
      <c r="N197" s="199"/>
      <c r="O197" s="199"/>
    </row>
    <row r="198" spans="1:15" s="1" customFormat="1" ht="12.75">
      <c r="A198" s="224">
        <v>316131</v>
      </c>
      <c r="B198" s="9" t="s">
        <v>3</v>
      </c>
      <c r="C198" s="20"/>
      <c r="D198" s="72"/>
      <c r="E198" s="72"/>
      <c r="F198" s="95"/>
      <c r="G198" s="378">
        <f t="shared" si="19"/>
        <v>0</v>
      </c>
      <c r="H198" s="38"/>
      <c r="I198" s="41"/>
      <c r="J198" s="41"/>
      <c r="K198" s="367"/>
      <c r="L198" s="520">
        <f t="shared" si="18"/>
      </c>
      <c r="M198" s="169"/>
      <c r="N198" s="199"/>
      <c r="O198" s="199"/>
    </row>
    <row r="199" spans="1:15" s="1" customFormat="1" ht="12.75">
      <c r="A199" s="224">
        <v>316132</v>
      </c>
      <c r="B199" s="9" t="s">
        <v>4</v>
      </c>
      <c r="C199" s="20"/>
      <c r="D199" s="72"/>
      <c r="E199" s="72"/>
      <c r="F199" s="95"/>
      <c r="G199" s="378">
        <f t="shared" si="19"/>
        <v>0</v>
      </c>
      <c r="H199" s="38"/>
      <c r="I199" s="41"/>
      <c r="J199" s="41"/>
      <c r="K199" s="367"/>
      <c r="L199" s="520">
        <f t="shared" si="18"/>
      </c>
      <c r="M199" s="169"/>
      <c r="N199" s="199"/>
      <c r="O199" s="199"/>
    </row>
    <row r="200" spans="1:15" s="1" customFormat="1" ht="12.75">
      <c r="A200" s="224">
        <v>316133</v>
      </c>
      <c r="B200" s="9" t="s">
        <v>5</v>
      </c>
      <c r="C200" s="20"/>
      <c r="D200" s="72"/>
      <c r="E200" s="72"/>
      <c r="F200" s="95"/>
      <c r="G200" s="378">
        <f t="shared" si="19"/>
        <v>0</v>
      </c>
      <c r="H200" s="38"/>
      <c r="I200" s="41"/>
      <c r="J200" s="41"/>
      <c r="K200" s="367"/>
      <c r="L200" s="520">
        <f t="shared" si="18"/>
      </c>
      <c r="M200" s="169"/>
      <c r="N200" s="199"/>
      <c r="O200" s="199"/>
    </row>
    <row r="201" spans="1:15" s="1" customFormat="1" ht="12.75">
      <c r="A201" s="224">
        <v>316134</v>
      </c>
      <c r="B201" s="9" t="s">
        <v>6</v>
      </c>
      <c r="C201" s="20"/>
      <c r="D201" s="72"/>
      <c r="E201" s="72"/>
      <c r="F201" s="95"/>
      <c r="G201" s="378">
        <f t="shared" si="19"/>
        <v>0</v>
      </c>
      <c r="H201" s="38"/>
      <c r="I201" s="41"/>
      <c r="J201" s="41"/>
      <c r="K201" s="367"/>
      <c r="L201" s="520">
        <f t="shared" si="18"/>
      </c>
      <c r="M201" s="169"/>
      <c r="N201" s="199"/>
      <c r="O201" s="199"/>
    </row>
    <row r="202" spans="1:15" s="1" customFormat="1" ht="12.75">
      <c r="A202" s="224">
        <v>316135</v>
      </c>
      <c r="B202" s="9" t="s">
        <v>738</v>
      </c>
      <c r="C202" s="20"/>
      <c r="D202" s="72"/>
      <c r="E202" s="72"/>
      <c r="F202" s="95"/>
      <c r="G202" s="378">
        <f t="shared" si="19"/>
        <v>0</v>
      </c>
      <c r="H202" s="38"/>
      <c r="I202" s="41"/>
      <c r="J202" s="41"/>
      <c r="K202" s="367"/>
      <c r="L202" s="520">
        <f t="shared" si="18"/>
      </c>
      <c r="M202" s="169"/>
      <c r="N202" s="199"/>
      <c r="O202" s="199"/>
    </row>
    <row r="203" spans="1:15" s="1" customFormat="1" ht="12.75">
      <c r="A203" s="224">
        <v>316138</v>
      </c>
      <c r="B203" s="9" t="s">
        <v>7</v>
      </c>
      <c r="C203" s="20"/>
      <c r="D203" s="72"/>
      <c r="E203" s="72"/>
      <c r="F203" s="95"/>
      <c r="G203" s="378">
        <f t="shared" si="19"/>
        <v>0</v>
      </c>
      <c r="H203" s="38"/>
      <c r="I203" s="41"/>
      <c r="J203" s="41"/>
      <c r="K203" s="367"/>
      <c r="L203" s="520">
        <f t="shared" si="18"/>
      </c>
      <c r="M203" s="169"/>
      <c r="N203" s="199"/>
      <c r="O203" s="199"/>
    </row>
    <row r="204" spans="1:15" s="1" customFormat="1" ht="12.75">
      <c r="A204" s="224">
        <v>316140</v>
      </c>
      <c r="B204" s="9" t="s">
        <v>8</v>
      </c>
      <c r="C204" s="20"/>
      <c r="D204" s="72"/>
      <c r="E204" s="72"/>
      <c r="F204" s="95"/>
      <c r="G204" s="378">
        <f t="shared" si="19"/>
        <v>0</v>
      </c>
      <c r="H204" s="38"/>
      <c r="I204" s="41"/>
      <c r="J204" s="41"/>
      <c r="K204" s="367"/>
      <c r="L204" s="520">
        <f t="shared" si="18"/>
      </c>
      <c r="M204" s="169"/>
      <c r="N204" s="199"/>
      <c r="O204" s="199"/>
    </row>
    <row r="205" spans="1:15" s="1" customFormat="1" ht="12.75">
      <c r="A205" s="224">
        <v>316141</v>
      </c>
      <c r="B205" s="9" t="s">
        <v>9</v>
      </c>
      <c r="C205" s="20"/>
      <c r="D205" s="72"/>
      <c r="E205" s="72"/>
      <c r="F205" s="95"/>
      <c r="G205" s="378">
        <f t="shared" si="19"/>
        <v>0</v>
      </c>
      <c r="H205" s="38"/>
      <c r="I205" s="41"/>
      <c r="J205" s="41"/>
      <c r="K205" s="367"/>
      <c r="L205" s="520">
        <f t="shared" si="18"/>
      </c>
      <c r="M205" s="169"/>
      <c r="N205" s="199"/>
      <c r="O205" s="199"/>
    </row>
    <row r="206" spans="1:15" s="1" customFormat="1" ht="12.75">
      <c r="A206" s="224">
        <v>316142</v>
      </c>
      <c r="B206" s="9" t="s">
        <v>10</v>
      </c>
      <c r="C206" s="20"/>
      <c r="D206" s="72"/>
      <c r="E206" s="72"/>
      <c r="F206" s="95"/>
      <c r="G206" s="378">
        <f t="shared" si="19"/>
        <v>0</v>
      </c>
      <c r="H206" s="38"/>
      <c r="I206" s="41"/>
      <c r="J206" s="41"/>
      <c r="K206" s="367"/>
      <c r="L206" s="520">
        <f t="shared" si="18"/>
      </c>
      <c r="M206" s="169"/>
      <c r="N206" s="199"/>
      <c r="O206" s="199"/>
    </row>
    <row r="207" spans="1:15" s="1" customFormat="1" ht="12.75">
      <c r="A207" s="224">
        <v>319010</v>
      </c>
      <c r="B207" s="9" t="s">
        <v>556</v>
      </c>
      <c r="C207" s="20"/>
      <c r="D207" s="72"/>
      <c r="E207" s="72"/>
      <c r="F207" s="95"/>
      <c r="G207" s="378">
        <f t="shared" si="19"/>
        <v>0</v>
      </c>
      <c r="H207" s="38"/>
      <c r="I207" s="41"/>
      <c r="J207" s="41"/>
      <c r="K207" s="367"/>
      <c r="L207" s="520">
        <f t="shared" si="18"/>
      </c>
      <c r="M207" s="169"/>
      <c r="N207" s="199"/>
      <c r="O207" s="199"/>
    </row>
    <row r="208" spans="1:15" s="1" customFormat="1" ht="12.75">
      <c r="A208" s="224">
        <v>319011</v>
      </c>
      <c r="B208" s="9" t="s">
        <v>11</v>
      </c>
      <c r="C208" s="20"/>
      <c r="D208" s="72"/>
      <c r="E208" s="72"/>
      <c r="F208" s="95"/>
      <c r="G208" s="378">
        <f t="shared" si="19"/>
        <v>0</v>
      </c>
      <c r="H208" s="38"/>
      <c r="I208" s="41"/>
      <c r="J208" s="41"/>
      <c r="K208" s="367"/>
      <c r="L208" s="520">
        <f t="shared" si="18"/>
      </c>
      <c r="M208" s="169"/>
      <c r="N208" s="199"/>
      <c r="O208" s="199"/>
    </row>
    <row r="209" spans="1:15" s="1" customFormat="1" ht="12.75">
      <c r="A209" s="224">
        <v>319013</v>
      </c>
      <c r="B209" s="9" t="s">
        <v>647</v>
      </c>
      <c r="C209" s="20"/>
      <c r="D209" s="72"/>
      <c r="E209" s="72"/>
      <c r="F209" s="95"/>
      <c r="G209" s="378">
        <f t="shared" si="19"/>
        <v>0</v>
      </c>
      <c r="H209" s="38"/>
      <c r="I209" s="41"/>
      <c r="J209" s="41"/>
      <c r="K209" s="367"/>
      <c r="L209" s="520">
        <f t="shared" si="18"/>
      </c>
      <c r="M209" s="169"/>
      <c r="N209" s="199"/>
      <c r="O209" s="199"/>
    </row>
    <row r="210" spans="1:15" s="1" customFormat="1" ht="12.75">
      <c r="A210" s="224">
        <v>319019</v>
      </c>
      <c r="B210" s="9" t="s">
        <v>12</v>
      </c>
      <c r="C210" s="20"/>
      <c r="D210" s="72"/>
      <c r="E210" s="72"/>
      <c r="F210" s="95"/>
      <c r="G210" s="378">
        <f t="shared" si="19"/>
        <v>0</v>
      </c>
      <c r="H210" s="38"/>
      <c r="I210" s="41"/>
      <c r="J210" s="41"/>
      <c r="K210" s="367"/>
      <c r="L210" s="520">
        <f t="shared" si="18"/>
      </c>
      <c r="M210" s="169"/>
      <c r="N210" s="199"/>
      <c r="O210" s="199"/>
    </row>
    <row r="211" spans="1:15" s="1" customFormat="1" ht="12.75">
      <c r="A211" s="224">
        <v>319020</v>
      </c>
      <c r="B211" s="9" t="s">
        <v>13</v>
      </c>
      <c r="C211" s="20"/>
      <c r="D211" s="72"/>
      <c r="E211" s="72"/>
      <c r="F211" s="95"/>
      <c r="G211" s="378">
        <f t="shared" si="19"/>
        <v>0</v>
      </c>
      <c r="H211" s="38"/>
      <c r="I211" s="41"/>
      <c r="J211" s="41"/>
      <c r="K211" s="367"/>
      <c r="L211" s="520">
        <f t="shared" si="18"/>
      </c>
      <c r="M211" s="169"/>
      <c r="N211" s="199"/>
      <c r="O211" s="199"/>
    </row>
    <row r="212" spans="1:15" s="1" customFormat="1" ht="12.75">
      <c r="A212" s="224">
        <v>319021</v>
      </c>
      <c r="B212" s="9" t="s">
        <v>14</v>
      </c>
      <c r="C212" s="20"/>
      <c r="D212" s="72"/>
      <c r="E212" s="72"/>
      <c r="F212" s="95"/>
      <c r="G212" s="378">
        <f t="shared" si="19"/>
        <v>0</v>
      </c>
      <c r="H212" s="38"/>
      <c r="I212" s="41"/>
      <c r="J212" s="41"/>
      <c r="K212" s="367"/>
      <c r="L212" s="520">
        <f t="shared" si="18"/>
      </c>
      <c r="M212" s="169"/>
      <c r="N212" s="199"/>
      <c r="O212" s="199"/>
    </row>
    <row r="213" spans="1:15" s="1" customFormat="1" ht="12.75">
      <c r="A213" s="224">
        <v>319022</v>
      </c>
      <c r="B213" s="9" t="s">
        <v>558</v>
      </c>
      <c r="C213" s="20"/>
      <c r="D213" s="72"/>
      <c r="E213" s="72"/>
      <c r="F213" s="95"/>
      <c r="G213" s="378">
        <f t="shared" si="19"/>
        <v>0</v>
      </c>
      <c r="H213" s="38"/>
      <c r="I213" s="41"/>
      <c r="J213" s="41"/>
      <c r="K213" s="367"/>
      <c r="L213" s="520">
        <f t="shared" si="18"/>
      </c>
      <c r="M213" s="169"/>
      <c r="N213" s="199"/>
      <c r="O213" s="199"/>
    </row>
    <row r="214" spans="1:15" s="1" customFormat="1" ht="12.75">
      <c r="A214" s="224">
        <v>319023</v>
      </c>
      <c r="B214" s="9" t="s">
        <v>559</v>
      </c>
      <c r="C214" s="20"/>
      <c r="D214" s="72"/>
      <c r="E214" s="72"/>
      <c r="F214" s="95"/>
      <c r="G214" s="378">
        <f t="shared" si="19"/>
        <v>0</v>
      </c>
      <c r="H214" s="38"/>
      <c r="I214" s="41"/>
      <c r="J214" s="41"/>
      <c r="K214" s="367"/>
      <c r="L214" s="520">
        <f t="shared" si="18"/>
      </c>
      <c r="M214" s="169"/>
      <c r="N214" s="199"/>
      <c r="O214" s="199"/>
    </row>
    <row r="215" spans="1:15" s="1" customFormat="1" ht="12.75">
      <c r="A215" s="224">
        <v>319025</v>
      </c>
      <c r="B215" s="9" t="s">
        <v>560</v>
      </c>
      <c r="C215" s="20"/>
      <c r="D215" s="72"/>
      <c r="E215" s="72"/>
      <c r="F215" s="95"/>
      <c r="G215" s="378">
        <f t="shared" si="19"/>
        <v>0</v>
      </c>
      <c r="H215" s="38"/>
      <c r="I215" s="41"/>
      <c r="J215" s="41"/>
      <c r="K215" s="367"/>
      <c r="L215" s="520">
        <f t="shared" si="18"/>
      </c>
      <c r="M215" s="169"/>
      <c r="N215" s="199"/>
      <c r="O215" s="199"/>
    </row>
    <row r="216" spans="1:15" s="1" customFormat="1" ht="12.75">
      <c r="A216" s="224">
        <v>319027</v>
      </c>
      <c r="B216" s="9" t="s">
        <v>15</v>
      </c>
      <c r="C216" s="20"/>
      <c r="D216" s="72"/>
      <c r="E216" s="72"/>
      <c r="F216" s="95"/>
      <c r="G216" s="378">
        <f t="shared" si="19"/>
        <v>0</v>
      </c>
      <c r="H216" s="38"/>
      <c r="I216" s="41"/>
      <c r="J216" s="41"/>
      <c r="K216" s="367"/>
      <c r="L216" s="520">
        <f t="shared" si="18"/>
      </c>
      <c r="M216" s="169"/>
      <c r="N216" s="199"/>
      <c r="O216" s="199"/>
    </row>
    <row r="217" spans="1:15" s="1" customFormat="1" ht="12.75">
      <c r="A217" s="224">
        <v>319029</v>
      </c>
      <c r="B217" s="9" t="s">
        <v>561</v>
      </c>
      <c r="C217" s="20"/>
      <c r="D217" s="72"/>
      <c r="E217" s="72"/>
      <c r="F217" s="95"/>
      <c r="G217" s="378">
        <f t="shared" si="19"/>
        <v>0</v>
      </c>
      <c r="H217" s="38"/>
      <c r="I217" s="41"/>
      <c r="J217" s="41"/>
      <c r="K217" s="367"/>
      <c r="L217" s="520">
        <f t="shared" si="18"/>
      </c>
      <c r="M217" s="169"/>
      <c r="N217" s="199"/>
      <c r="O217" s="199"/>
    </row>
    <row r="218" spans="1:15" s="1" customFormat="1" ht="12.75">
      <c r="A218" s="224">
        <v>319030</v>
      </c>
      <c r="B218" s="9" t="s">
        <v>594</v>
      </c>
      <c r="C218" s="20"/>
      <c r="D218" s="72"/>
      <c r="E218" s="72"/>
      <c r="F218" s="95"/>
      <c r="G218" s="378">
        <f t="shared" si="19"/>
        <v>0</v>
      </c>
      <c r="H218" s="38"/>
      <c r="I218" s="41"/>
      <c r="J218" s="41"/>
      <c r="K218" s="367"/>
      <c r="L218" s="520">
        <f t="shared" si="18"/>
      </c>
      <c r="M218" s="169"/>
      <c r="N218" s="199"/>
      <c r="O218" s="199"/>
    </row>
    <row r="219" spans="1:15" s="1" customFormat="1" ht="12.75">
      <c r="A219" s="224">
        <v>319031</v>
      </c>
      <c r="B219" s="9" t="s">
        <v>765</v>
      </c>
      <c r="C219" s="20"/>
      <c r="D219" s="72"/>
      <c r="E219" s="72"/>
      <c r="F219" s="95"/>
      <c r="G219" s="378">
        <f t="shared" si="19"/>
        <v>0</v>
      </c>
      <c r="H219" s="38"/>
      <c r="I219" s="41"/>
      <c r="J219" s="41"/>
      <c r="K219" s="367"/>
      <c r="L219" s="520">
        <f aca="true" t="shared" si="20" ref="L219:L235">IF(FMVA&lt;&gt;"",(Sum*mva)-Sum,"")</f>
      </c>
      <c r="M219" s="169"/>
      <c r="N219" s="199"/>
      <c r="O219" s="199"/>
    </row>
    <row r="220" spans="1:15" s="1" customFormat="1" ht="12.75">
      <c r="A220" s="224">
        <v>319032</v>
      </c>
      <c r="B220" s="9" t="s">
        <v>16</v>
      </c>
      <c r="C220" s="20"/>
      <c r="D220" s="72"/>
      <c r="E220" s="72"/>
      <c r="F220" s="95"/>
      <c r="G220" s="378">
        <f t="shared" si="19"/>
        <v>0</v>
      </c>
      <c r="H220" s="38"/>
      <c r="I220" s="41"/>
      <c r="J220" s="41"/>
      <c r="K220" s="367"/>
      <c r="L220" s="520">
        <f t="shared" si="20"/>
      </c>
      <c r="M220" s="169"/>
      <c r="N220" s="199"/>
      <c r="O220" s="199"/>
    </row>
    <row r="221" spans="1:15" s="1" customFormat="1" ht="12.75">
      <c r="A221" s="224">
        <v>319033</v>
      </c>
      <c r="B221" s="9" t="s">
        <v>766</v>
      </c>
      <c r="C221" s="20"/>
      <c r="D221" s="72"/>
      <c r="E221" s="72"/>
      <c r="F221" s="95"/>
      <c r="G221" s="378">
        <f t="shared" si="19"/>
        <v>0</v>
      </c>
      <c r="H221" s="38"/>
      <c r="I221" s="41"/>
      <c r="J221" s="41"/>
      <c r="K221" s="367"/>
      <c r="L221" s="520">
        <f t="shared" si="20"/>
      </c>
      <c r="M221" s="169"/>
      <c r="N221" s="199"/>
      <c r="O221" s="199"/>
    </row>
    <row r="222" spans="1:15" s="1" customFormat="1" ht="12.75">
      <c r="A222" s="224">
        <v>319040</v>
      </c>
      <c r="B222" s="9" t="s">
        <v>769</v>
      </c>
      <c r="C222" s="20"/>
      <c r="D222" s="72"/>
      <c r="E222" s="72"/>
      <c r="F222" s="95"/>
      <c r="G222" s="378">
        <f t="shared" si="19"/>
        <v>0</v>
      </c>
      <c r="H222" s="38"/>
      <c r="I222" s="41"/>
      <c r="J222" s="41"/>
      <c r="K222" s="367"/>
      <c r="L222" s="520">
        <f t="shared" si="20"/>
      </c>
      <c r="M222" s="169"/>
      <c r="N222" s="199"/>
      <c r="O222" s="199"/>
    </row>
    <row r="223" spans="1:15" s="1" customFormat="1" ht="12.75">
      <c r="A223" s="224">
        <v>319050</v>
      </c>
      <c r="B223" s="9" t="s">
        <v>17</v>
      </c>
      <c r="C223" s="20"/>
      <c r="D223" s="72"/>
      <c r="E223" s="72"/>
      <c r="F223" s="95"/>
      <c r="G223" s="378">
        <f t="shared" si="19"/>
        <v>0</v>
      </c>
      <c r="H223" s="38"/>
      <c r="I223" s="41"/>
      <c r="J223" s="41"/>
      <c r="K223" s="367"/>
      <c r="L223" s="520">
        <f t="shared" si="20"/>
      </c>
      <c r="M223" s="169"/>
      <c r="N223" s="199"/>
      <c r="O223" s="199"/>
    </row>
    <row r="224" spans="1:15" s="1" customFormat="1" ht="12.75">
      <c r="A224" s="224">
        <v>319055</v>
      </c>
      <c r="B224" s="9" t="s">
        <v>18</v>
      </c>
      <c r="C224" s="20"/>
      <c r="D224" s="72"/>
      <c r="E224" s="72"/>
      <c r="F224" s="95"/>
      <c r="G224" s="378">
        <f t="shared" si="19"/>
        <v>0</v>
      </c>
      <c r="H224" s="38"/>
      <c r="I224" s="41"/>
      <c r="J224" s="41"/>
      <c r="K224" s="367"/>
      <c r="L224" s="520">
        <f t="shared" si="20"/>
      </c>
      <c r="M224" s="169"/>
      <c r="N224" s="199"/>
      <c r="O224" s="199"/>
    </row>
    <row r="225" spans="1:15" s="1" customFormat="1" ht="12.75">
      <c r="A225" s="224">
        <v>319056</v>
      </c>
      <c r="B225" s="9" t="s">
        <v>19</v>
      </c>
      <c r="C225" s="20"/>
      <c r="D225" s="72"/>
      <c r="E225" s="72"/>
      <c r="F225" s="95"/>
      <c r="G225" s="378">
        <f t="shared" si="19"/>
        <v>0</v>
      </c>
      <c r="H225" s="38"/>
      <c r="I225" s="41"/>
      <c r="J225" s="41"/>
      <c r="K225" s="367"/>
      <c r="L225" s="520">
        <f t="shared" si="20"/>
      </c>
      <c r="M225" s="169"/>
      <c r="N225" s="199"/>
      <c r="O225" s="199"/>
    </row>
    <row r="226" spans="1:15" s="1" customFormat="1" ht="12.75">
      <c r="A226" s="224">
        <v>319057</v>
      </c>
      <c r="B226" s="9" t="s">
        <v>20</v>
      </c>
      <c r="C226" s="20"/>
      <c r="D226" s="72"/>
      <c r="E226" s="72"/>
      <c r="F226" s="95"/>
      <c r="G226" s="378">
        <f t="shared" si="19"/>
        <v>0</v>
      </c>
      <c r="H226" s="38"/>
      <c r="I226" s="41"/>
      <c r="J226" s="41"/>
      <c r="K226" s="367"/>
      <c r="L226" s="520">
        <f t="shared" si="20"/>
      </c>
      <c r="M226" s="169"/>
      <c r="N226" s="199"/>
      <c r="O226" s="199"/>
    </row>
    <row r="227" spans="1:15" s="1" customFormat="1" ht="12.75">
      <c r="A227" s="224">
        <v>319060</v>
      </c>
      <c r="B227" s="9" t="s">
        <v>562</v>
      </c>
      <c r="C227" s="20"/>
      <c r="D227" s="72"/>
      <c r="E227" s="72"/>
      <c r="F227" s="95"/>
      <c r="G227" s="378">
        <f t="shared" si="19"/>
        <v>0</v>
      </c>
      <c r="H227" s="38"/>
      <c r="I227" s="41"/>
      <c r="J227" s="41"/>
      <c r="K227" s="367"/>
      <c r="L227" s="520">
        <f t="shared" si="20"/>
      </c>
      <c r="M227" s="169"/>
      <c r="N227" s="199"/>
      <c r="O227" s="199"/>
    </row>
    <row r="228" spans="1:15" s="1" customFormat="1" ht="12.75">
      <c r="A228" s="224">
        <v>319061</v>
      </c>
      <c r="B228" s="9" t="s">
        <v>563</v>
      </c>
      <c r="C228" s="20"/>
      <c r="D228" s="72"/>
      <c r="E228" s="72"/>
      <c r="F228" s="95"/>
      <c r="G228" s="378">
        <f t="shared" si="19"/>
        <v>0</v>
      </c>
      <c r="H228" s="38"/>
      <c r="I228" s="41"/>
      <c r="J228" s="41"/>
      <c r="K228" s="367"/>
      <c r="L228" s="520">
        <f t="shared" si="20"/>
      </c>
      <c r="M228" s="169"/>
      <c r="N228" s="199"/>
      <c r="O228" s="199"/>
    </row>
    <row r="229" spans="1:15" s="1" customFormat="1" ht="12.75">
      <c r="A229" s="224">
        <v>319063</v>
      </c>
      <c r="B229" s="9" t="s">
        <v>610</v>
      </c>
      <c r="C229" s="20"/>
      <c r="D229" s="72"/>
      <c r="E229" s="72"/>
      <c r="F229" s="95"/>
      <c r="G229" s="378">
        <f t="shared" si="19"/>
        <v>0</v>
      </c>
      <c r="H229" s="38"/>
      <c r="I229" s="41"/>
      <c r="J229" s="41"/>
      <c r="K229" s="367"/>
      <c r="L229" s="520">
        <f t="shared" si="20"/>
      </c>
      <c r="M229" s="169"/>
      <c r="N229" s="199"/>
      <c r="O229" s="199"/>
    </row>
    <row r="230" spans="1:15" s="1" customFormat="1" ht="12.75">
      <c r="A230" s="224">
        <v>319064</v>
      </c>
      <c r="B230" s="9" t="s">
        <v>21</v>
      </c>
      <c r="C230" s="20"/>
      <c r="D230" s="72"/>
      <c r="E230" s="72"/>
      <c r="F230" s="95"/>
      <c r="G230" s="378">
        <f t="shared" si="19"/>
        <v>0</v>
      </c>
      <c r="H230" s="38"/>
      <c r="I230" s="41"/>
      <c r="J230" s="41"/>
      <c r="K230" s="367"/>
      <c r="L230" s="520">
        <f t="shared" si="20"/>
      </c>
      <c r="M230" s="169"/>
      <c r="N230" s="199"/>
      <c r="O230" s="199"/>
    </row>
    <row r="231" spans="1:15" s="1" customFormat="1" ht="12.75">
      <c r="A231" s="224">
        <v>319069</v>
      </c>
      <c r="B231" s="9" t="s">
        <v>564</v>
      </c>
      <c r="C231" s="20" t="s">
        <v>416</v>
      </c>
      <c r="D231" s="72"/>
      <c r="E231" s="72"/>
      <c r="F231" s="95"/>
      <c r="G231" s="378">
        <f t="shared" si="19"/>
        <v>0</v>
      </c>
      <c r="H231" s="38"/>
      <c r="I231" s="41"/>
      <c r="J231" s="41"/>
      <c r="K231" s="367"/>
      <c r="L231" s="520">
        <f t="shared" si="20"/>
      </c>
      <c r="M231" s="169"/>
      <c r="N231" s="199"/>
      <c r="O231" s="199"/>
    </row>
    <row r="232" spans="1:15" s="1" customFormat="1" ht="12.75">
      <c r="A232" s="224">
        <v>319074</v>
      </c>
      <c r="B232" s="9" t="s">
        <v>23</v>
      </c>
      <c r="C232" s="20"/>
      <c r="D232" s="72"/>
      <c r="E232" s="72"/>
      <c r="F232" s="95"/>
      <c r="G232" s="378">
        <f>IF(X=0,(IF(Me=0,Sa,Me*Sa)),(IF(Me=0,Sa*X,Me*X*Sa)))</f>
        <v>0</v>
      </c>
      <c r="H232" s="38"/>
      <c r="I232" s="41"/>
      <c r="J232" s="41"/>
      <c r="K232" s="367"/>
      <c r="L232" s="520">
        <f t="shared" si="20"/>
      </c>
      <c r="M232" s="169"/>
      <c r="N232" s="199"/>
      <c r="O232" s="199"/>
    </row>
    <row r="233" spans="1:15" s="1" customFormat="1" ht="12.75">
      <c r="A233" s="224">
        <v>319075</v>
      </c>
      <c r="B233" s="9" t="s">
        <v>24</v>
      </c>
      <c r="C233" s="20"/>
      <c r="D233" s="72"/>
      <c r="E233" s="72"/>
      <c r="F233" s="95"/>
      <c r="G233" s="378">
        <f>IF(X=0,(IF(Me=0,Sa,Me*Sa)),(IF(Me=0,Sa*X,Me*X*Sa)))</f>
        <v>0</v>
      </c>
      <c r="H233" s="38"/>
      <c r="I233" s="41"/>
      <c r="J233" s="41"/>
      <c r="K233" s="367"/>
      <c r="L233" s="520">
        <f t="shared" si="20"/>
      </c>
      <c r="M233" s="169"/>
      <c r="N233" s="199"/>
      <c r="O233" s="199"/>
    </row>
    <row r="234" spans="1:15" s="1" customFormat="1" ht="12.75">
      <c r="A234" s="224">
        <v>319077</v>
      </c>
      <c r="B234" s="9" t="s">
        <v>598</v>
      </c>
      <c r="C234" s="20"/>
      <c r="D234" s="72"/>
      <c r="E234" s="72"/>
      <c r="F234" s="95"/>
      <c r="G234" s="378">
        <f>IF(X=0,(IF(Me=0,Sa,Me*Sa)),(IF(Me=0,Sa*X,Me*X*Sa)))</f>
        <v>0</v>
      </c>
      <c r="H234" s="38"/>
      <c r="I234" s="41"/>
      <c r="J234" s="41"/>
      <c r="K234" s="367"/>
      <c r="L234" s="520">
        <f t="shared" si="20"/>
      </c>
      <c r="M234" s="169"/>
      <c r="N234" s="199"/>
      <c r="O234" s="199"/>
    </row>
    <row r="235" spans="1:15" s="1" customFormat="1" ht="12.75">
      <c r="A235" s="224">
        <v>319078</v>
      </c>
      <c r="B235" s="218" t="s">
        <v>568</v>
      </c>
      <c r="C235" s="219"/>
      <c r="D235" s="220"/>
      <c r="E235" s="220"/>
      <c r="F235" s="221"/>
      <c r="G235" s="379">
        <f>IF(X=0,(IF(Me=0,Sa,Me*Sa)),(IF(Me=0,Sa*X,Me*X*Sa)))</f>
        <v>0</v>
      </c>
      <c r="H235" s="38"/>
      <c r="I235" s="41"/>
      <c r="J235" s="41"/>
      <c r="K235" s="367"/>
      <c r="L235" s="520">
        <f t="shared" si="20"/>
      </c>
      <c r="M235" s="169"/>
      <c r="N235" s="199"/>
      <c r="O235" s="199"/>
    </row>
    <row r="236" spans="1:15" s="1" customFormat="1" ht="13.5" thickBot="1">
      <c r="A236" s="231" t="s">
        <v>401</v>
      </c>
      <c r="B236" s="6"/>
      <c r="C236" s="22"/>
      <c r="D236" s="44"/>
      <c r="E236" s="71"/>
      <c r="F236" s="90" t="s">
        <v>570</v>
      </c>
      <c r="G236" s="383">
        <f>SUM(G154:G235)</f>
        <v>0</v>
      </c>
      <c r="H236" s="38"/>
      <c r="I236" s="44"/>
      <c r="J236" s="44"/>
      <c r="K236" s="366"/>
      <c r="L236" s="383">
        <f>SUM(L154:L235)</f>
        <v>0</v>
      </c>
      <c r="M236" s="169"/>
      <c r="N236" s="199"/>
      <c r="O236" s="199"/>
    </row>
    <row r="237" spans="1:15" s="1" customFormat="1" ht="0.75" customHeight="1" thickTop="1">
      <c r="A237" s="226"/>
      <c r="C237" s="21"/>
      <c r="D237" s="44"/>
      <c r="E237" s="71"/>
      <c r="F237" s="44"/>
      <c r="G237" s="44"/>
      <c r="H237" s="36"/>
      <c r="I237" s="41"/>
      <c r="J237" s="41"/>
      <c r="K237" s="366"/>
      <c r="L237" s="516"/>
      <c r="M237" s="169"/>
      <c r="N237" s="199"/>
      <c r="O237" s="199"/>
    </row>
    <row r="238" spans="1:15" s="1" customFormat="1" ht="24.75" customHeight="1" thickTop="1">
      <c r="A238" s="228" t="s">
        <v>520</v>
      </c>
      <c r="B238" s="2"/>
      <c r="C238" s="21"/>
      <c r="D238" s="171" t="s">
        <v>422</v>
      </c>
      <c r="E238" s="172" t="s">
        <v>423</v>
      </c>
      <c r="F238" s="171" t="s">
        <v>424</v>
      </c>
      <c r="G238" s="171" t="s">
        <v>425</v>
      </c>
      <c r="H238" s="171" t="s">
        <v>426</v>
      </c>
      <c r="I238" s="173" t="s">
        <v>427</v>
      </c>
      <c r="J238" s="173"/>
      <c r="K238" s="366"/>
      <c r="L238" s="518" t="s">
        <v>688</v>
      </c>
      <c r="M238" s="169"/>
      <c r="N238" s="199"/>
      <c r="O238" s="199"/>
    </row>
    <row r="239" spans="1:15" s="1" customFormat="1" ht="12.75">
      <c r="A239" s="224">
        <v>321210</v>
      </c>
      <c r="B239" s="9" t="s">
        <v>576</v>
      </c>
      <c r="C239" s="20"/>
      <c r="D239" s="72"/>
      <c r="E239" s="72"/>
      <c r="F239" s="95"/>
      <c r="G239" s="377">
        <f aca="true" t="shared" si="21" ref="G239:G254">IF(X=0,(IF(Me=0,Sa,Me*Sa)),(IF(Me=0,Sa*X,Me*X*Sa)))</f>
        <v>0</v>
      </c>
      <c r="H239" s="375">
        <f aca="true" t="shared" si="22" ref="H239:H254">IF(Sum,Sos,0)</f>
        <v>0</v>
      </c>
      <c r="I239" s="376">
        <f aca="true" t="shared" si="23" ref="I239:I254">IF(Prosent&lt;&gt;0,(Sum*Prosent)/100,0)</f>
        <v>0</v>
      </c>
      <c r="J239" s="41"/>
      <c r="K239" s="367"/>
      <c r="L239" s="520">
        <f aca="true" t="shared" si="24" ref="L239:L261">IF(FMVA&lt;&gt;"",(Sum*mva)-Sum,"")</f>
      </c>
      <c r="M239" s="169"/>
      <c r="N239" s="199"/>
      <c r="O239" s="199"/>
    </row>
    <row r="240" spans="1:15" s="1" customFormat="1" ht="12.75">
      <c r="A240" s="224">
        <v>321212</v>
      </c>
      <c r="B240" s="9" t="s">
        <v>27</v>
      </c>
      <c r="C240" s="20"/>
      <c r="D240" s="72"/>
      <c r="E240" s="72"/>
      <c r="F240" s="95"/>
      <c r="G240" s="378">
        <f t="shared" si="21"/>
        <v>0</v>
      </c>
      <c r="H240" s="375">
        <f t="shared" si="22"/>
        <v>0</v>
      </c>
      <c r="I240" s="376">
        <f t="shared" si="23"/>
        <v>0</v>
      </c>
      <c r="J240" s="41"/>
      <c r="K240" s="367"/>
      <c r="L240" s="520">
        <f t="shared" si="24"/>
      </c>
      <c r="M240" s="169"/>
      <c r="N240" s="199"/>
      <c r="O240" s="199"/>
    </row>
    <row r="241" spans="1:15" s="1" customFormat="1" ht="12.75">
      <c r="A241" s="224">
        <v>321213</v>
      </c>
      <c r="B241" s="9" t="s">
        <v>28</v>
      </c>
      <c r="C241" s="20"/>
      <c r="D241" s="55"/>
      <c r="E241" s="72"/>
      <c r="F241" s="381">
        <f>IF(D241=0,0,+G240)</f>
        <v>0</v>
      </c>
      <c r="G241" s="378">
        <f t="shared" si="21"/>
        <v>0</v>
      </c>
      <c r="H241" s="375">
        <f t="shared" si="22"/>
        <v>0</v>
      </c>
      <c r="I241" s="376">
        <f t="shared" si="23"/>
        <v>0</v>
      </c>
      <c r="J241" s="41"/>
      <c r="K241" s="367"/>
      <c r="L241" s="520">
        <f t="shared" si="24"/>
      </c>
      <c r="M241" s="169"/>
      <c r="N241" s="199"/>
      <c r="O241" s="199"/>
    </row>
    <row r="242" spans="1:15" s="1" customFormat="1" ht="12.75">
      <c r="A242" s="224">
        <v>321214</v>
      </c>
      <c r="B242" s="9" t="s">
        <v>577</v>
      </c>
      <c r="C242" s="20"/>
      <c r="D242" s="72"/>
      <c r="E242" s="72"/>
      <c r="F242" s="95"/>
      <c r="G242" s="378">
        <f t="shared" si="21"/>
        <v>0</v>
      </c>
      <c r="H242" s="375">
        <f t="shared" si="22"/>
        <v>0</v>
      </c>
      <c r="I242" s="376">
        <f t="shared" si="23"/>
        <v>0</v>
      </c>
      <c r="J242" s="41"/>
      <c r="K242" s="367"/>
      <c r="L242" s="520">
        <f t="shared" si="24"/>
      </c>
      <c r="M242" s="169"/>
      <c r="N242" s="199"/>
      <c r="O242" s="199"/>
    </row>
    <row r="243" spans="1:15" s="1" customFormat="1" ht="12.75">
      <c r="A243" s="224">
        <v>321215</v>
      </c>
      <c r="B243" s="9" t="s">
        <v>578</v>
      </c>
      <c r="C243" s="20"/>
      <c r="D243" s="55"/>
      <c r="E243" s="72"/>
      <c r="F243" s="381">
        <f>IF(D243=0,0,+G242)</f>
        <v>0</v>
      </c>
      <c r="G243" s="378">
        <f t="shared" si="21"/>
        <v>0</v>
      </c>
      <c r="H243" s="375">
        <f t="shared" si="22"/>
        <v>0</v>
      </c>
      <c r="I243" s="376">
        <f t="shared" si="23"/>
        <v>0</v>
      </c>
      <c r="J243" s="41"/>
      <c r="K243" s="367"/>
      <c r="L243" s="520">
        <f t="shared" si="24"/>
      </c>
      <c r="M243" s="169"/>
      <c r="N243" s="199"/>
      <c r="O243" s="199"/>
    </row>
    <row r="244" spans="1:15" s="1" customFormat="1" ht="12.75">
      <c r="A244" s="224">
        <v>321216</v>
      </c>
      <c r="B244" s="9" t="s">
        <v>29</v>
      </c>
      <c r="C244" s="20"/>
      <c r="D244" s="72"/>
      <c r="E244" s="72"/>
      <c r="F244" s="95"/>
      <c r="G244" s="378">
        <f t="shared" si="21"/>
        <v>0</v>
      </c>
      <c r="H244" s="375">
        <f t="shared" si="22"/>
        <v>0</v>
      </c>
      <c r="I244" s="376">
        <f t="shared" si="23"/>
        <v>0</v>
      </c>
      <c r="J244" s="41"/>
      <c r="K244" s="367"/>
      <c r="L244" s="520">
        <f t="shared" si="24"/>
      </c>
      <c r="M244" s="169"/>
      <c r="N244" s="199"/>
      <c r="O244" s="199"/>
    </row>
    <row r="245" spans="1:15" s="1" customFormat="1" ht="12.75">
      <c r="A245" s="224">
        <v>321220</v>
      </c>
      <c r="B245" s="9" t="s">
        <v>30</v>
      </c>
      <c r="C245" s="20"/>
      <c r="D245" s="72"/>
      <c r="E245" s="72"/>
      <c r="F245" s="95"/>
      <c r="G245" s="378">
        <f t="shared" si="21"/>
        <v>0</v>
      </c>
      <c r="H245" s="375">
        <f t="shared" si="22"/>
        <v>0</v>
      </c>
      <c r="I245" s="376">
        <f t="shared" si="23"/>
        <v>0</v>
      </c>
      <c r="J245" s="41"/>
      <c r="K245" s="367"/>
      <c r="L245" s="520">
        <f t="shared" si="24"/>
      </c>
      <c r="M245" s="169"/>
      <c r="N245" s="199"/>
      <c r="O245" s="199"/>
    </row>
    <row r="246" spans="1:15" s="1" customFormat="1" ht="12.75">
      <c r="A246" s="224">
        <v>321221</v>
      </c>
      <c r="B246" s="9" t="s">
        <v>31</v>
      </c>
      <c r="C246" s="20"/>
      <c r="D246" s="55"/>
      <c r="E246" s="72"/>
      <c r="F246" s="381">
        <f>IF(D246=0,0,+G245)</f>
        <v>0</v>
      </c>
      <c r="G246" s="378">
        <f t="shared" si="21"/>
        <v>0</v>
      </c>
      <c r="H246" s="375">
        <f t="shared" si="22"/>
        <v>0</v>
      </c>
      <c r="I246" s="376">
        <f t="shared" si="23"/>
        <v>0</v>
      </c>
      <c r="J246" s="41"/>
      <c r="K246" s="367"/>
      <c r="L246" s="520">
        <f t="shared" si="24"/>
      </c>
      <c r="M246" s="169"/>
      <c r="N246" s="199"/>
      <c r="O246" s="199"/>
    </row>
    <row r="247" spans="1:15" s="1" customFormat="1" ht="12.75">
      <c r="A247" s="224">
        <v>321230</v>
      </c>
      <c r="B247" s="9" t="s">
        <v>32</v>
      </c>
      <c r="C247" s="20"/>
      <c r="D247" s="72"/>
      <c r="E247" s="72"/>
      <c r="F247" s="95"/>
      <c r="G247" s="378">
        <f t="shared" si="21"/>
        <v>0</v>
      </c>
      <c r="H247" s="375">
        <f t="shared" si="22"/>
        <v>0</v>
      </c>
      <c r="I247" s="376">
        <f t="shared" si="23"/>
        <v>0</v>
      </c>
      <c r="J247" s="41"/>
      <c r="K247" s="367"/>
      <c r="L247" s="520">
        <f t="shared" si="24"/>
      </c>
      <c r="M247" s="169"/>
      <c r="N247" s="199"/>
      <c r="O247" s="199"/>
    </row>
    <row r="248" spans="1:15" s="1" customFormat="1" ht="12.75">
      <c r="A248" s="224">
        <v>321231</v>
      </c>
      <c r="B248" s="9" t="s">
        <v>33</v>
      </c>
      <c r="C248" s="20"/>
      <c r="D248" s="55"/>
      <c r="E248" s="72"/>
      <c r="F248" s="381">
        <f>IF(D248=0,0,+G247)</f>
        <v>0</v>
      </c>
      <c r="G248" s="378">
        <f t="shared" si="21"/>
        <v>0</v>
      </c>
      <c r="H248" s="375">
        <f t="shared" si="22"/>
        <v>0</v>
      </c>
      <c r="I248" s="376">
        <f t="shared" si="23"/>
        <v>0</v>
      </c>
      <c r="J248" s="41"/>
      <c r="K248" s="367"/>
      <c r="L248" s="520">
        <f t="shared" si="24"/>
      </c>
      <c r="M248" s="169"/>
      <c r="N248" s="199"/>
      <c r="O248" s="199"/>
    </row>
    <row r="249" spans="1:15" s="1" customFormat="1" ht="12.75">
      <c r="A249" s="224">
        <v>321242</v>
      </c>
      <c r="B249" s="9" t="s">
        <v>34</v>
      </c>
      <c r="C249" s="20"/>
      <c r="D249" s="72"/>
      <c r="E249" s="72"/>
      <c r="F249" s="95"/>
      <c r="G249" s="378">
        <f t="shared" si="21"/>
        <v>0</v>
      </c>
      <c r="H249" s="375">
        <f t="shared" si="22"/>
        <v>0</v>
      </c>
      <c r="I249" s="376">
        <f t="shared" si="23"/>
        <v>0</v>
      </c>
      <c r="J249" s="41"/>
      <c r="K249" s="367"/>
      <c r="L249" s="520">
        <f t="shared" si="24"/>
      </c>
      <c r="M249" s="169"/>
      <c r="N249" s="199"/>
      <c r="O249" s="199"/>
    </row>
    <row r="250" spans="1:15" s="1" customFormat="1" ht="12.75">
      <c r="A250" s="224">
        <v>321243</v>
      </c>
      <c r="B250" s="9" t="s">
        <v>35</v>
      </c>
      <c r="C250" s="20"/>
      <c r="D250" s="55"/>
      <c r="E250" s="72"/>
      <c r="F250" s="381">
        <f>IF(D250=0,0,+G249)</f>
        <v>0</v>
      </c>
      <c r="G250" s="378">
        <f t="shared" si="21"/>
        <v>0</v>
      </c>
      <c r="H250" s="375">
        <f t="shared" si="22"/>
        <v>0</v>
      </c>
      <c r="I250" s="376">
        <f t="shared" si="23"/>
        <v>0</v>
      </c>
      <c r="J250" s="41"/>
      <c r="K250" s="367"/>
      <c r="L250" s="520">
        <f t="shared" si="24"/>
      </c>
      <c r="M250" s="169"/>
      <c r="N250" s="199"/>
      <c r="O250" s="199"/>
    </row>
    <row r="251" spans="1:15" s="1" customFormat="1" ht="12.75">
      <c r="A251" s="224">
        <v>321290</v>
      </c>
      <c r="B251" s="9" t="s">
        <v>36</v>
      </c>
      <c r="C251" s="20"/>
      <c r="D251" s="72"/>
      <c r="E251" s="72"/>
      <c r="F251" s="95"/>
      <c r="G251" s="378">
        <f t="shared" si="21"/>
        <v>0</v>
      </c>
      <c r="H251" s="375">
        <f t="shared" si="22"/>
        <v>0</v>
      </c>
      <c r="I251" s="376">
        <f t="shared" si="23"/>
        <v>0</v>
      </c>
      <c r="J251" s="41"/>
      <c r="K251" s="367"/>
      <c r="L251" s="520">
        <f t="shared" si="24"/>
      </c>
      <c r="M251" s="169"/>
      <c r="N251" s="199"/>
      <c r="O251" s="199"/>
    </row>
    <row r="252" spans="1:15" s="1" customFormat="1" ht="12.75">
      <c r="A252" s="224">
        <v>321291</v>
      </c>
      <c r="B252" s="9" t="s">
        <v>37</v>
      </c>
      <c r="C252" s="20"/>
      <c r="D252" s="40"/>
      <c r="E252" s="72"/>
      <c r="F252" s="385">
        <f>IF(D252=0,0,+G251)</f>
        <v>0</v>
      </c>
      <c r="G252" s="378">
        <f t="shared" si="21"/>
        <v>0</v>
      </c>
      <c r="H252" s="375">
        <f t="shared" si="22"/>
        <v>0</v>
      </c>
      <c r="I252" s="376">
        <f t="shared" si="23"/>
        <v>0</v>
      </c>
      <c r="J252" s="41"/>
      <c r="K252" s="367"/>
      <c r="L252" s="520">
        <f t="shared" si="24"/>
      </c>
      <c r="M252" s="169"/>
      <c r="N252" s="199"/>
      <c r="O252" s="199"/>
    </row>
    <row r="253" spans="1:15" s="1" customFormat="1" ht="12.75">
      <c r="A253" s="224">
        <v>324010</v>
      </c>
      <c r="B253" s="13" t="s">
        <v>550</v>
      </c>
      <c r="C253" s="20"/>
      <c r="D253" s="72"/>
      <c r="E253" s="72"/>
      <c r="F253" s="95"/>
      <c r="G253" s="378">
        <f t="shared" si="21"/>
        <v>0</v>
      </c>
      <c r="H253" s="375">
        <f t="shared" si="22"/>
        <v>0</v>
      </c>
      <c r="I253" s="376">
        <f t="shared" si="23"/>
        <v>0</v>
      </c>
      <c r="J253" s="41"/>
      <c r="K253" s="367"/>
      <c r="L253" s="520">
        <f t="shared" si="24"/>
      </c>
      <c r="M253" s="169"/>
      <c r="N253" s="199"/>
      <c r="O253" s="199"/>
    </row>
    <row r="254" spans="1:15" s="1" customFormat="1" ht="12.75">
      <c r="A254" s="224">
        <v>324092</v>
      </c>
      <c r="B254" s="13" t="s">
        <v>590</v>
      </c>
      <c r="C254" s="20"/>
      <c r="D254" s="72"/>
      <c r="E254" s="72"/>
      <c r="F254" s="95"/>
      <c r="G254" s="378">
        <f t="shared" si="21"/>
        <v>0</v>
      </c>
      <c r="H254" s="375">
        <f t="shared" si="22"/>
        <v>0</v>
      </c>
      <c r="I254" s="376">
        <f t="shared" si="23"/>
        <v>0</v>
      </c>
      <c r="J254" s="41"/>
      <c r="K254" s="367"/>
      <c r="L254" s="520">
        <f t="shared" si="24"/>
      </c>
      <c r="M254" s="169"/>
      <c r="N254" s="199"/>
      <c r="O254" s="199"/>
    </row>
    <row r="255" spans="1:15" s="1" customFormat="1" ht="12.75">
      <c r="A255" s="224">
        <v>324095</v>
      </c>
      <c r="B255" s="9" t="s">
        <v>554</v>
      </c>
      <c r="C255" s="20"/>
      <c r="D255" s="73"/>
      <c r="E255" s="73"/>
      <c r="F255" s="98"/>
      <c r="G255" s="384">
        <f>SUM(I239:I254)</f>
        <v>0</v>
      </c>
      <c r="H255" s="38"/>
      <c r="I255" s="39" t="s">
        <v>555</v>
      </c>
      <c r="J255" s="39"/>
      <c r="K255" s="572"/>
      <c r="L255" s="520"/>
      <c r="M255" s="169"/>
      <c r="N255" s="199"/>
      <c r="O255" s="199"/>
    </row>
    <row r="256" spans="1:15" s="1" customFormat="1" ht="12.75">
      <c r="A256" s="224">
        <v>329010</v>
      </c>
      <c r="B256" s="9" t="s">
        <v>556</v>
      </c>
      <c r="C256" s="20"/>
      <c r="D256" s="72"/>
      <c r="E256" s="72"/>
      <c r="F256" s="95"/>
      <c r="G256" s="378">
        <f aca="true" t="shared" si="25" ref="G256:G261">IF(X=0,(IF(Me=0,Sa,Me*Sa)),(IF(Me=0,Sa*X,Me*X*Sa)))</f>
        <v>0</v>
      </c>
      <c r="H256" s="44"/>
      <c r="I256" s="44"/>
      <c r="J256" s="44"/>
      <c r="K256" s="367"/>
      <c r="L256" s="520">
        <f t="shared" si="24"/>
      </c>
      <c r="M256" s="169"/>
      <c r="N256" s="199"/>
      <c r="O256" s="199"/>
    </row>
    <row r="257" spans="1:15" s="1" customFormat="1" ht="12.75">
      <c r="A257" s="224">
        <v>329027</v>
      </c>
      <c r="B257" s="9" t="s">
        <v>15</v>
      </c>
      <c r="C257" s="20"/>
      <c r="D257" s="72"/>
      <c r="E257" s="72"/>
      <c r="F257" s="95"/>
      <c r="G257" s="378">
        <f t="shared" si="25"/>
        <v>0</v>
      </c>
      <c r="H257" s="44"/>
      <c r="I257" s="44"/>
      <c r="J257" s="44"/>
      <c r="K257" s="367"/>
      <c r="L257" s="520">
        <f t="shared" si="24"/>
      </c>
      <c r="M257" s="169"/>
      <c r="N257" s="199"/>
      <c r="O257" s="199"/>
    </row>
    <row r="258" spans="1:15" s="1" customFormat="1" ht="12.75">
      <c r="A258" s="224">
        <v>329040</v>
      </c>
      <c r="B258" s="9" t="s">
        <v>769</v>
      </c>
      <c r="C258" s="20"/>
      <c r="D258" s="72"/>
      <c r="E258" s="72"/>
      <c r="F258" s="95"/>
      <c r="G258" s="378">
        <f t="shared" si="25"/>
        <v>0</v>
      </c>
      <c r="H258" s="44"/>
      <c r="I258" s="44"/>
      <c r="J258" s="44"/>
      <c r="K258" s="367"/>
      <c r="L258" s="520">
        <f t="shared" si="24"/>
      </c>
      <c r="M258" s="169"/>
      <c r="N258" s="199"/>
      <c r="O258" s="199"/>
    </row>
    <row r="259" spans="1:15" s="1" customFormat="1" ht="12.75">
      <c r="A259" s="224">
        <v>329060</v>
      </c>
      <c r="B259" s="9" t="s">
        <v>562</v>
      </c>
      <c r="C259" s="20"/>
      <c r="D259" s="72"/>
      <c r="E259" s="72"/>
      <c r="F259" s="95"/>
      <c r="G259" s="378">
        <f t="shared" si="25"/>
        <v>0</v>
      </c>
      <c r="H259" s="44"/>
      <c r="I259" s="44"/>
      <c r="J259" s="44"/>
      <c r="K259" s="367"/>
      <c r="L259" s="520">
        <f t="shared" si="24"/>
      </c>
      <c r="M259" s="169"/>
      <c r="N259" s="199"/>
      <c r="O259" s="199"/>
    </row>
    <row r="260" spans="1:15" s="1" customFormat="1" ht="12.75">
      <c r="A260" s="224">
        <v>329064</v>
      </c>
      <c r="B260" s="9" t="s">
        <v>21</v>
      </c>
      <c r="C260" s="20"/>
      <c r="D260" s="72"/>
      <c r="E260" s="72"/>
      <c r="F260" s="95"/>
      <c r="G260" s="378">
        <f t="shared" si="25"/>
        <v>0</v>
      </c>
      <c r="H260" s="44"/>
      <c r="I260" s="44"/>
      <c r="J260" s="44"/>
      <c r="K260" s="367"/>
      <c r="L260" s="520">
        <f t="shared" si="24"/>
      </c>
      <c r="M260" s="169"/>
      <c r="N260" s="199"/>
      <c r="O260" s="199"/>
    </row>
    <row r="261" spans="1:15" s="1" customFormat="1" ht="12.75">
      <c r="A261" s="224">
        <v>329069</v>
      </c>
      <c r="B261" s="218" t="s">
        <v>564</v>
      </c>
      <c r="C261" s="20" t="s">
        <v>416</v>
      </c>
      <c r="D261" s="220"/>
      <c r="E261" s="220"/>
      <c r="F261" s="221"/>
      <c r="G261" s="379">
        <f t="shared" si="25"/>
        <v>0</v>
      </c>
      <c r="H261" s="38"/>
      <c r="I261" s="41"/>
      <c r="J261" s="41"/>
      <c r="K261" s="367"/>
      <c r="L261" s="520">
        <f t="shared" si="24"/>
      </c>
      <c r="M261" s="169"/>
      <c r="N261" s="199"/>
      <c r="O261" s="199"/>
    </row>
    <row r="262" spans="1:15" s="1" customFormat="1" ht="13.5" thickBot="1">
      <c r="A262" s="231" t="s">
        <v>401</v>
      </c>
      <c r="B262" s="6"/>
      <c r="C262" s="22"/>
      <c r="D262" s="44"/>
      <c r="E262" s="71"/>
      <c r="F262" s="90" t="s">
        <v>570</v>
      </c>
      <c r="G262" s="383">
        <f>SUM(G239:G261)</f>
        <v>0</v>
      </c>
      <c r="H262" s="38"/>
      <c r="I262" s="44"/>
      <c r="J262" s="44"/>
      <c r="K262" s="366"/>
      <c r="L262" s="383">
        <f>SUM(L239:L261)</f>
        <v>0</v>
      </c>
      <c r="M262" s="169"/>
      <c r="N262" s="199"/>
      <c r="O262" s="199"/>
    </row>
    <row r="263" spans="1:15" s="1" customFormat="1" ht="0.75" customHeight="1" thickTop="1">
      <c r="A263" s="226"/>
      <c r="C263" s="21"/>
      <c r="D263" s="44"/>
      <c r="E263" s="71"/>
      <c r="F263" s="44"/>
      <c r="G263" s="44"/>
      <c r="H263" s="38"/>
      <c r="I263" s="44"/>
      <c r="J263" s="44"/>
      <c r="K263" s="366"/>
      <c r="L263" s="520">
        <f>IF(E263=mva,G263-(G263/mva),"")</f>
      </c>
      <c r="M263" s="169"/>
      <c r="N263" s="199"/>
      <c r="O263" s="199"/>
    </row>
    <row r="264" spans="1:15" s="1" customFormat="1" ht="24.75" customHeight="1" thickTop="1">
      <c r="A264" s="228" t="s">
        <v>521</v>
      </c>
      <c r="B264" s="2"/>
      <c r="C264" s="21"/>
      <c r="D264" s="171" t="s">
        <v>422</v>
      </c>
      <c r="E264" s="172" t="s">
        <v>423</v>
      </c>
      <c r="F264" s="171" t="s">
        <v>424</v>
      </c>
      <c r="G264" s="171" t="s">
        <v>425</v>
      </c>
      <c r="H264" s="171" t="s">
        <v>426</v>
      </c>
      <c r="I264" s="173" t="s">
        <v>427</v>
      </c>
      <c r="J264" s="173"/>
      <c r="K264" s="366"/>
      <c r="L264" s="518" t="s">
        <v>688</v>
      </c>
      <c r="M264" s="169"/>
      <c r="N264" s="199"/>
      <c r="O264" s="199"/>
    </row>
    <row r="265" spans="1:15" s="1" customFormat="1" ht="12.75">
      <c r="A265" s="224">
        <v>331310</v>
      </c>
      <c r="B265" s="9" t="s">
        <v>579</v>
      </c>
      <c r="C265" s="20"/>
      <c r="D265" s="72"/>
      <c r="E265" s="72"/>
      <c r="F265" s="95"/>
      <c r="G265" s="377">
        <f aca="true" t="shared" si="26" ref="G265:G289">IF(X=0,(IF(Me=0,Sa,Me*Sa)),(IF(Me=0,Sa*X,Me*X*Sa)))</f>
        <v>0</v>
      </c>
      <c r="H265" s="375">
        <f aca="true" t="shared" si="27" ref="H265:H289">IF(Sum,Sos,0)</f>
        <v>0</v>
      </c>
      <c r="I265" s="376">
        <f aca="true" t="shared" si="28" ref="I265:I289">IF(Prosent&lt;&gt;0,(Sum*Prosent)/100,0)</f>
        <v>0</v>
      </c>
      <c r="J265" s="41"/>
      <c r="K265" s="367"/>
      <c r="L265" s="520">
        <f aca="true" t="shared" si="29" ref="L265:L328">IF(FMVA&lt;&gt;"",(Sum*mva)-Sum,"")</f>
      </c>
      <c r="M265" s="169"/>
      <c r="N265" s="199"/>
      <c r="O265" s="199"/>
    </row>
    <row r="266" spans="1:15" s="1" customFormat="1" ht="12.75">
      <c r="A266" s="224">
        <v>331311</v>
      </c>
      <c r="B266" s="12" t="s">
        <v>580</v>
      </c>
      <c r="C266" s="20"/>
      <c r="D266" s="55"/>
      <c r="E266" s="72"/>
      <c r="F266" s="381">
        <f>IF(D266=0,0,+G265)</f>
        <v>0</v>
      </c>
      <c r="G266" s="378">
        <f t="shared" si="26"/>
        <v>0</v>
      </c>
      <c r="H266" s="375">
        <f t="shared" si="27"/>
        <v>0</v>
      </c>
      <c r="I266" s="376">
        <f>IF(Prosent&lt;&gt;0,(Sum*Prosent)/100,0)</f>
        <v>0</v>
      </c>
      <c r="J266" s="41"/>
      <c r="K266" s="367"/>
      <c r="L266" s="520">
        <f t="shared" si="29"/>
      </c>
      <c r="M266" s="169"/>
      <c r="N266" s="199"/>
      <c r="O266" s="199"/>
    </row>
    <row r="267" spans="1:15" s="1" customFormat="1" ht="12.75">
      <c r="A267" s="224">
        <v>331312</v>
      </c>
      <c r="B267" s="9" t="s">
        <v>38</v>
      </c>
      <c r="C267" s="20"/>
      <c r="D267" s="72"/>
      <c r="E267" s="72"/>
      <c r="F267" s="95"/>
      <c r="G267" s="378">
        <f t="shared" si="26"/>
        <v>0</v>
      </c>
      <c r="H267" s="375">
        <f t="shared" si="27"/>
        <v>0</v>
      </c>
      <c r="I267" s="376">
        <f t="shared" si="28"/>
        <v>0</v>
      </c>
      <c r="J267" s="41"/>
      <c r="K267" s="367"/>
      <c r="L267" s="520">
        <f t="shared" si="29"/>
      </c>
      <c r="M267" s="169"/>
      <c r="N267" s="199"/>
      <c r="O267" s="199"/>
    </row>
    <row r="268" spans="1:15" s="1" customFormat="1" ht="12.75">
      <c r="A268" s="224">
        <v>331313</v>
      </c>
      <c r="B268" s="12" t="s">
        <v>39</v>
      </c>
      <c r="C268" s="20"/>
      <c r="D268" s="55"/>
      <c r="E268" s="72"/>
      <c r="F268" s="381">
        <f>IF(D268=0,0,+G267)</f>
        <v>0</v>
      </c>
      <c r="G268" s="378">
        <f t="shared" si="26"/>
        <v>0</v>
      </c>
      <c r="H268" s="375">
        <f t="shared" si="27"/>
        <v>0</v>
      </c>
      <c r="I268" s="376">
        <f t="shared" si="28"/>
        <v>0</v>
      </c>
      <c r="J268" s="41"/>
      <c r="K268" s="367"/>
      <c r="L268" s="520">
        <f t="shared" si="29"/>
      </c>
      <c r="M268" s="169"/>
      <c r="N268" s="199"/>
      <c r="O268" s="199"/>
    </row>
    <row r="269" spans="1:15" s="1" customFormat="1" ht="12.75">
      <c r="A269" s="224">
        <v>331320</v>
      </c>
      <c r="B269" s="9" t="s">
        <v>40</v>
      </c>
      <c r="C269" s="20"/>
      <c r="D269" s="72"/>
      <c r="E269" s="72"/>
      <c r="F269" s="95"/>
      <c r="G269" s="378">
        <f t="shared" si="26"/>
        <v>0</v>
      </c>
      <c r="H269" s="375">
        <f t="shared" si="27"/>
        <v>0</v>
      </c>
      <c r="I269" s="376">
        <f t="shared" si="28"/>
        <v>0</v>
      </c>
      <c r="J269" s="41"/>
      <c r="K269" s="367"/>
      <c r="L269" s="520">
        <f t="shared" si="29"/>
      </c>
      <c r="M269" s="169"/>
      <c r="N269" s="199"/>
      <c r="O269" s="199"/>
    </row>
    <row r="270" spans="1:15" s="1" customFormat="1" ht="12.75">
      <c r="A270" s="224">
        <v>331321</v>
      </c>
      <c r="B270" s="12" t="s">
        <v>41</v>
      </c>
      <c r="C270" s="20"/>
      <c r="D270" s="55"/>
      <c r="E270" s="72"/>
      <c r="F270" s="381">
        <f>IF(D270=0,0,+G269)</f>
        <v>0</v>
      </c>
      <c r="G270" s="378">
        <f t="shared" si="26"/>
        <v>0</v>
      </c>
      <c r="H270" s="375">
        <f t="shared" si="27"/>
        <v>0</v>
      </c>
      <c r="I270" s="376">
        <f t="shared" si="28"/>
        <v>0</v>
      </c>
      <c r="J270" s="41"/>
      <c r="K270" s="367"/>
      <c r="L270" s="520">
        <f t="shared" si="29"/>
      </c>
      <c r="M270" s="169"/>
      <c r="N270" s="199"/>
      <c r="O270" s="199"/>
    </row>
    <row r="271" spans="1:15" s="1" customFormat="1" ht="12.75">
      <c r="A271" s="224">
        <v>331330</v>
      </c>
      <c r="B271" s="9" t="s">
        <v>42</v>
      </c>
      <c r="C271" s="20"/>
      <c r="D271" s="72"/>
      <c r="E271" s="72"/>
      <c r="F271" s="95"/>
      <c r="G271" s="378">
        <f t="shared" si="26"/>
        <v>0</v>
      </c>
      <c r="H271" s="375">
        <f t="shared" si="27"/>
        <v>0</v>
      </c>
      <c r="I271" s="376">
        <f t="shared" si="28"/>
        <v>0</v>
      </c>
      <c r="J271" s="41"/>
      <c r="K271" s="367"/>
      <c r="L271" s="520">
        <f t="shared" si="29"/>
      </c>
      <c r="M271" s="169"/>
      <c r="N271" s="199"/>
      <c r="O271" s="199"/>
    </row>
    <row r="272" spans="1:15" s="1" customFormat="1" ht="12.75">
      <c r="A272" s="224">
        <v>331331</v>
      </c>
      <c r="B272" s="12" t="s">
        <v>43</v>
      </c>
      <c r="C272" s="20"/>
      <c r="D272" s="55"/>
      <c r="E272" s="72"/>
      <c r="F272" s="381">
        <f>IF(D272=0,0,+G271)</f>
        <v>0</v>
      </c>
      <c r="G272" s="378">
        <f t="shared" si="26"/>
        <v>0</v>
      </c>
      <c r="H272" s="375">
        <f t="shared" si="27"/>
        <v>0</v>
      </c>
      <c r="I272" s="376">
        <f t="shared" si="28"/>
        <v>0</v>
      </c>
      <c r="J272" s="41"/>
      <c r="K272" s="367"/>
      <c r="L272" s="520">
        <f t="shared" si="29"/>
      </c>
      <c r="M272" s="169"/>
      <c r="N272" s="199"/>
      <c r="O272" s="199"/>
    </row>
    <row r="273" spans="1:15" s="1" customFormat="1" ht="12.75">
      <c r="A273" s="224">
        <v>331332</v>
      </c>
      <c r="B273" s="9" t="s">
        <v>44</v>
      </c>
      <c r="C273" s="20"/>
      <c r="D273" s="72"/>
      <c r="E273" s="72"/>
      <c r="F273" s="95"/>
      <c r="G273" s="378">
        <f t="shared" si="26"/>
        <v>0</v>
      </c>
      <c r="H273" s="375">
        <f t="shared" si="27"/>
        <v>0</v>
      </c>
      <c r="I273" s="376">
        <f t="shared" si="28"/>
        <v>0</v>
      </c>
      <c r="J273" s="41"/>
      <c r="K273" s="367"/>
      <c r="L273" s="520">
        <f t="shared" si="29"/>
      </c>
      <c r="M273" s="169"/>
      <c r="N273" s="199"/>
      <c r="O273" s="199"/>
    </row>
    <row r="274" spans="1:15" s="1" customFormat="1" ht="12.75">
      <c r="A274" s="224">
        <v>331333</v>
      </c>
      <c r="B274" s="12" t="s">
        <v>45</v>
      </c>
      <c r="C274" s="20"/>
      <c r="D274" s="55"/>
      <c r="E274" s="72"/>
      <c r="F274" s="381">
        <f>IF(D274=0,0,+G273)</f>
        <v>0</v>
      </c>
      <c r="G274" s="378">
        <f t="shared" si="26"/>
        <v>0</v>
      </c>
      <c r="H274" s="375">
        <f t="shared" si="27"/>
        <v>0</v>
      </c>
      <c r="I274" s="376">
        <f t="shared" si="28"/>
        <v>0</v>
      </c>
      <c r="J274" s="41"/>
      <c r="K274" s="367"/>
      <c r="L274" s="520">
        <f t="shared" si="29"/>
      </c>
      <c r="M274" s="169"/>
      <c r="N274" s="199"/>
      <c r="O274" s="199"/>
    </row>
    <row r="275" spans="1:15" s="1" customFormat="1" ht="12.75">
      <c r="A275" s="224">
        <v>331334</v>
      </c>
      <c r="B275" s="9" t="s">
        <v>46</v>
      </c>
      <c r="C275" s="20"/>
      <c r="D275" s="72"/>
      <c r="E275" s="72"/>
      <c r="F275" s="95"/>
      <c r="G275" s="378">
        <f t="shared" si="26"/>
        <v>0</v>
      </c>
      <c r="H275" s="375">
        <f t="shared" si="27"/>
        <v>0</v>
      </c>
      <c r="I275" s="376">
        <f t="shared" si="28"/>
        <v>0</v>
      </c>
      <c r="J275" s="41"/>
      <c r="K275" s="367"/>
      <c r="L275" s="520">
        <f t="shared" si="29"/>
      </c>
      <c r="M275" s="169"/>
      <c r="N275" s="199"/>
      <c r="O275" s="199"/>
    </row>
    <row r="276" spans="1:15" s="1" customFormat="1" ht="12.75">
      <c r="A276" s="224">
        <v>331335</v>
      </c>
      <c r="B276" s="12" t="s">
        <v>47</v>
      </c>
      <c r="C276" s="20"/>
      <c r="D276" s="55"/>
      <c r="E276" s="72"/>
      <c r="F276" s="381">
        <f>IF(D276=0,0,+G275)</f>
        <v>0</v>
      </c>
      <c r="G276" s="378">
        <f t="shared" si="26"/>
        <v>0</v>
      </c>
      <c r="H276" s="375">
        <f t="shared" si="27"/>
        <v>0</v>
      </c>
      <c r="I276" s="376">
        <f t="shared" si="28"/>
        <v>0</v>
      </c>
      <c r="J276" s="41"/>
      <c r="K276" s="367"/>
      <c r="L276" s="520">
        <f t="shared" si="29"/>
      </c>
      <c r="M276" s="169"/>
      <c r="N276" s="199"/>
      <c r="O276" s="199"/>
    </row>
    <row r="277" spans="1:15" s="1" customFormat="1" ht="12.75">
      <c r="A277" s="224">
        <v>331340</v>
      </c>
      <c r="B277" s="9" t="s">
        <v>48</v>
      </c>
      <c r="C277" s="20"/>
      <c r="D277" s="72"/>
      <c r="E277" s="72"/>
      <c r="F277" s="95"/>
      <c r="G277" s="378">
        <f t="shared" si="26"/>
        <v>0</v>
      </c>
      <c r="H277" s="375">
        <f t="shared" si="27"/>
        <v>0</v>
      </c>
      <c r="I277" s="376">
        <f t="shared" si="28"/>
        <v>0</v>
      </c>
      <c r="J277" s="41"/>
      <c r="K277" s="367"/>
      <c r="L277" s="520">
        <f t="shared" si="29"/>
      </c>
      <c r="M277" s="169"/>
      <c r="N277" s="199"/>
      <c r="O277" s="199"/>
    </row>
    <row r="278" spans="1:15" s="1" customFormat="1" ht="12.75">
      <c r="A278" s="224">
        <v>331341</v>
      </c>
      <c r="B278" s="9" t="s">
        <v>49</v>
      </c>
      <c r="C278" s="20"/>
      <c r="D278" s="55"/>
      <c r="E278" s="72"/>
      <c r="F278" s="381">
        <f>IF(D278=0,0,+G277)</f>
        <v>0</v>
      </c>
      <c r="G278" s="378">
        <f t="shared" si="26"/>
        <v>0</v>
      </c>
      <c r="H278" s="375">
        <f t="shared" si="27"/>
        <v>0</v>
      </c>
      <c r="I278" s="376">
        <f t="shared" si="28"/>
        <v>0</v>
      </c>
      <c r="J278" s="41"/>
      <c r="K278" s="367"/>
      <c r="L278" s="520">
        <f t="shared" si="29"/>
      </c>
      <c r="M278" s="169"/>
      <c r="N278" s="199"/>
      <c r="O278" s="199"/>
    </row>
    <row r="279" spans="1:15" s="1" customFormat="1" ht="12.75">
      <c r="A279" s="224">
        <v>331342</v>
      </c>
      <c r="B279" s="9" t="s">
        <v>50</v>
      </c>
      <c r="C279" s="20"/>
      <c r="D279" s="72"/>
      <c r="E279" s="72"/>
      <c r="F279" s="95"/>
      <c r="G279" s="378">
        <f t="shared" si="26"/>
        <v>0</v>
      </c>
      <c r="H279" s="375">
        <f t="shared" si="27"/>
        <v>0</v>
      </c>
      <c r="I279" s="376">
        <f t="shared" si="28"/>
        <v>0</v>
      </c>
      <c r="J279" s="41"/>
      <c r="K279" s="367"/>
      <c r="L279" s="520">
        <f t="shared" si="29"/>
      </c>
      <c r="M279" s="169"/>
      <c r="N279" s="199"/>
      <c r="O279" s="199"/>
    </row>
    <row r="280" spans="1:15" s="1" customFormat="1" ht="12.75">
      <c r="A280" s="224">
        <v>331343</v>
      </c>
      <c r="B280" s="12" t="s">
        <v>51</v>
      </c>
      <c r="C280" s="20"/>
      <c r="D280" s="55"/>
      <c r="E280" s="72"/>
      <c r="F280" s="381">
        <f>IF(D280=0,0,+G279)</f>
        <v>0</v>
      </c>
      <c r="G280" s="378">
        <f t="shared" si="26"/>
        <v>0</v>
      </c>
      <c r="H280" s="375">
        <f t="shared" si="27"/>
        <v>0</v>
      </c>
      <c r="I280" s="376">
        <f t="shared" si="28"/>
        <v>0</v>
      </c>
      <c r="J280" s="41"/>
      <c r="K280" s="367"/>
      <c r="L280" s="520">
        <f t="shared" si="29"/>
      </c>
      <c r="M280" s="169"/>
      <c r="N280" s="199"/>
      <c r="O280" s="199"/>
    </row>
    <row r="281" spans="1:15" s="1" customFormat="1" ht="12.75">
      <c r="A281" s="224">
        <v>331350</v>
      </c>
      <c r="B281" s="9" t="s">
        <v>52</v>
      </c>
      <c r="C281" s="20"/>
      <c r="D281" s="72"/>
      <c r="E281" s="72"/>
      <c r="F281" s="95"/>
      <c r="G281" s="378">
        <f t="shared" si="26"/>
        <v>0</v>
      </c>
      <c r="H281" s="375">
        <f t="shared" si="27"/>
        <v>0</v>
      </c>
      <c r="I281" s="376">
        <f t="shared" si="28"/>
        <v>0</v>
      </c>
      <c r="J281" s="41"/>
      <c r="K281" s="367"/>
      <c r="L281" s="520">
        <f t="shared" si="29"/>
      </c>
      <c r="M281" s="169"/>
      <c r="N281" s="199"/>
      <c r="O281" s="199"/>
    </row>
    <row r="282" spans="1:15" s="1" customFormat="1" ht="12.75">
      <c r="A282" s="224">
        <v>331351</v>
      </c>
      <c r="B282" s="9" t="s">
        <v>53</v>
      </c>
      <c r="C282" s="20"/>
      <c r="D282" s="55"/>
      <c r="E282" s="72"/>
      <c r="F282" s="381">
        <f>IF(D282=0,0,+G281)</f>
        <v>0</v>
      </c>
      <c r="G282" s="378">
        <f t="shared" si="26"/>
        <v>0</v>
      </c>
      <c r="H282" s="375">
        <f t="shared" si="27"/>
        <v>0</v>
      </c>
      <c r="I282" s="376">
        <f t="shared" si="28"/>
        <v>0</v>
      </c>
      <c r="J282" s="41"/>
      <c r="K282" s="367"/>
      <c r="L282" s="520">
        <f t="shared" si="29"/>
      </c>
      <c r="M282" s="169"/>
      <c r="N282" s="199"/>
      <c r="O282" s="199"/>
    </row>
    <row r="283" spans="1:15" s="1" customFormat="1" ht="12.75">
      <c r="A283" s="224">
        <v>331352</v>
      </c>
      <c r="B283" s="9" t="s">
        <v>54</v>
      </c>
      <c r="C283" s="20"/>
      <c r="D283" s="72"/>
      <c r="E283" s="72"/>
      <c r="F283" s="95"/>
      <c r="G283" s="378">
        <f t="shared" si="26"/>
        <v>0</v>
      </c>
      <c r="H283" s="375">
        <f t="shared" si="27"/>
        <v>0</v>
      </c>
      <c r="I283" s="376">
        <f t="shared" si="28"/>
        <v>0</v>
      </c>
      <c r="J283" s="41"/>
      <c r="K283" s="367"/>
      <c r="L283" s="520">
        <f t="shared" si="29"/>
      </c>
      <c r="M283" s="169"/>
      <c r="N283" s="199"/>
      <c r="O283" s="199"/>
    </row>
    <row r="284" spans="1:15" s="1" customFormat="1" ht="12.75">
      <c r="A284" s="224">
        <v>331353</v>
      </c>
      <c r="B284" s="9" t="s">
        <v>55</v>
      </c>
      <c r="C284" s="20"/>
      <c r="D284" s="55"/>
      <c r="E284" s="72"/>
      <c r="F284" s="381">
        <f>IF(D284=0,0,+G283)</f>
        <v>0</v>
      </c>
      <c r="G284" s="378">
        <f t="shared" si="26"/>
        <v>0</v>
      </c>
      <c r="H284" s="375">
        <f t="shared" si="27"/>
        <v>0</v>
      </c>
      <c r="I284" s="376">
        <f t="shared" si="28"/>
        <v>0</v>
      </c>
      <c r="J284" s="41"/>
      <c r="K284" s="367"/>
      <c r="L284" s="520">
        <f t="shared" si="29"/>
      </c>
      <c r="M284" s="169"/>
      <c r="N284" s="199"/>
      <c r="O284" s="199"/>
    </row>
    <row r="285" spans="1:15" s="1" customFormat="1" ht="12.75">
      <c r="A285" s="224">
        <v>331360</v>
      </c>
      <c r="B285" s="9" t="s">
        <v>56</v>
      </c>
      <c r="C285" s="20"/>
      <c r="D285" s="72"/>
      <c r="E285" s="72"/>
      <c r="F285" s="95"/>
      <c r="G285" s="378">
        <f t="shared" si="26"/>
        <v>0</v>
      </c>
      <c r="H285" s="375">
        <f t="shared" si="27"/>
        <v>0</v>
      </c>
      <c r="I285" s="376">
        <f t="shared" si="28"/>
        <v>0</v>
      </c>
      <c r="J285" s="41"/>
      <c r="K285" s="367"/>
      <c r="L285" s="520">
        <f t="shared" si="29"/>
      </c>
      <c r="M285" s="169"/>
      <c r="N285" s="199"/>
      <c r="O285" s="199"/>
    </row>
    <row r="286" spans="1:15" s="1" customFormat="1" ht="12.75">
      <c r="A286" s="224">
        <v>331361</v>
      </c>
      <c r="B286" s="9" t="s">
        <v>57</v>
      </c>
      <c r="C286" s="20"/>
      <c r="D286" s="55"/>
      <c r="E286" s="72"/>
      <c r="F286" s="381">
        <f>IF(D286=0,0,+G285)</f>
        <v>0</v>
      </c>
      <c r="G286" s="378">
        <f t="shared" si="26"/>
        <v>0</v>
      </c>
      <c r="H286" s="375">
        <f t="shared" si="27"/>
        <v>0</v>
      </c>
      <c r="I286" s="376">
        <f t="shared" si="28"/>
        <v>0</v>
      </c>
      <c r="J286" s="41"/>
      <c r="K286" s="367"/>
      <c r="L286" s="520">
        <f t="shared" si="29"/>
      </c>
      <c r="M286" s="169"/>
      <c r="N286" s="199"/>
      <c r="O286" s="199"/>
    </row>
    <row r="287" spans="1:15" s="1" customFormat="1" ht="12.75">
      <c r="A287" s="224">
        <v>331390</v>
      </c>
      <c r="B287" s="9" t="s">
        <v>58</v>
      </c>
      <c r="C287" s="20"/>
      <c r="D287" s="72"/>
      <c r="E287" s="72"/>
      <c r="F287" s="95"/>
      <c r="G287" s="378">
        <f t="shared" si="26"/>
        <v>0</v>
      </c>
      <c r="H287" s="375">
        <f t="shared" si="27"/>
        <v>0</v>
      </c>
      <c r="I287" s="376">
        <f t="shared" si="28"/>
        <v>0</v>
      </c>
      <c r="J287" s="41"/>
      <c r="K287" s="367"/>
      <c r="L287" s="520">
        <f t="shared" si="29"/>
      </c>
      <c r="M287" s="169"/>
      <c r="N287" s="199"/>
      <c r="O287" s="199"/>
    </row>
    <row r="288" spans="1:15" s="1" customFormat="1" ht="12.75">
      <c r="A288" s="224">
        <v>331391</v>
      </c>
      <c r="B288" s="12" t="s">
        <v>59</v>
      </c>
      <c r="C288" s="20"/>
      <c r="D288" s="55"/>
      <c r="E288" s="72"/>
      <c r="F288" s="381">
        <f>IF(D288=0,0,+G286)</f>
        <v>0</v>
      </c>
      <c r="G288" s="378">
        <f t="shared" si="26"/>
        <v>0</v>
      </c>
      <c r="H288" s="375">
        <f t="shared" si="27"/>
        <v>0</v>
      </c>
      <c r="I288" s="376">
        <f t="shared" si="28"/>
        <v>0</v>
      </c>
      <c r="J288" s="41"/>
      <c r="K288" s="367"/>
      <c r="L288" s="520">
        <f t="shared" si="29"/>
      </c>
      <c r="M288" s="169"/>
      <c r="N288" s="199"/>
      <c r="O288" s="199"/>
    </row>
    <row r="289" spans="1:15" s="1" customFormat="1" ht="12.75">
      <c r="A289" s="224">
        <v>334092</v>
      </c>
      <c r="B289" s="12" t="s">
        <v>590</v>
      </c>
      <c r="C289" s="20"/>
      <c r="D289" s="72"/>
      <c r="E289" s="72"/>
      <c r="F289" s="95"/>
      <c r="G289" s="378">
        <f t="shared" si="26"/>
        <v>0</v>
      </c>
      <c r="H289" s="375">
        <f t="shared" si="27"/>
        <v>0</v>
      </c>
      <c r="I289" s="376">
        <f t="shared" si="28"/>
        <v>0</v>
      </c>
      <c r="J289" s="41"/>
      <c r="K289" s="367"/>
      <c r="L289" s="520">
        <f t="shared" si="29"/>
      </c>
      <c r="M289" s="169"/>
      <c r="N289" s="199"/>
      <c r="O289" s="199"/>
    </row>
    <row r="290" spans="1:15" s="1" customFormat="1" ht="12.75">
      <c r="A290" s="224">
        <v>334095</v>
      </c>
      <c r="B290" s="9" t="s">
        <v>554</v>
      </c>
      <c r="C290" s="20"/>
      <c r="D290" s="73"/>
      <c r="E290" s="73"/>
      <c r="F290" s="94"/>
      <c r="G290" s="384">
        <f>SUM(I265:I289)</f>
        <v>0</v>
      </c>
      <c r="H290" s="38"/>
      <c r="I290" s="39" t="s">
        <v>555</v>
      </c>
      <c r="J290" s="39"/>
      <c r="K290" s="572"/>
      <c r="L290" s="520"/>
      <c r="M290" s="169"/>
      <c r="N290" s="199"/>
      <c r="O290" s="199"/>
    </row>
    <row r="291" spans="1:15" s="1" customFormat="1" ht="12.75">
      <c r="A291" s="224">
        <v>336301</v>
      </c>
      <c r="B291" s="12" t="s">
        <v>60</v>
      </c>
      <c r="C291" s="20"/>
      <c r="D291" s="72"/>
      <c r="E291" s="72"/>
      <c r="F291" s="95"/>
      <c r="G291" s="378">
        <f aca="true" t="shared" si="30" ref="G291:G332">IF(X=0,(IF(Me=0,Sa,Me*Sa)),(IF(Me=0,Sa*X,Me*X*Sa)))</f>
        <v>0</v>
      </c>
      <c r="H291" s="44"/>
      <c r="I291" s="44"/>
      <c r="J291" s="44"/>
      <c r="K291" s="367"/>
      <c r="L291" s="520">
        <f t="shared" si="29"/>
      </c>
      <c r="M291" s="169"/>
      <c r="N291" s="199"/>
      <c r="O291" s="199"/>
    </row>
    <row r="292" spans="1:15" s="1" customFormat="1" ht="12.75">
      <c r="A292" s="224">
        <v>336311</v>
      </c>
      <c r="B292" s="9" t="s">
        <v>61</v>
      </c>
      <c r="C292" s="20"/>
      <c r="D292" s="72"/>
      <c r="E292" s="72"/>
      <c r="F292" s="95"/>
      <c r="G292" s="378">
        <f t="shared" si="30"/>
        <v>0</v>
      </c>
      <c r="H292" s="44"/>
      <c r="I292" s="44"/>
      <c r="J292" s="44"/>
      <c r="K292" s="367"/>
      <c r="L292" s="520">
        <f t="shared" si="29"/>
      </c>
      <c r="M292" s="169"/>
      <c r="N292" s="199"/>
      <c r="O292" s="199"/>
    </row>
    <row r="293" spans="1:15" s="1" customFormat="1" ht="12.75">
      <c r="A293" s="224">
        <v>336312</v>
      </c>
      <c r="B293" s="9" t="s">
        <v>62</v>
      </c>
      <c r="C293" s="20"/>
      <c r="D293" s="72"/>
      <c r="E293" s="72"/>
      <c r="F293" s="95"/>
      <c r="G293" s="378">
        <f t="shared" si="30"/>
        <v>0</v>
      </c>
      <c r="H293" s="44"/>
      <c r="I293" s="44"/>
      <c r="J293" s="44"/>
      <c r="K293" s="367"/>
      <c r="L293" s="520">
        <f t="shared" si="29"/>
      </c>
      <c r="M293" s="169"/>
      <c r="N293" s="199"/>
      <c r="O293" s="199"/>
    </row>
    <row r="294" spans="1:15" s="1" customFormat="1" ht="12.75">
      <c r="A294" s="224">
        <v>336313</v>
      </c>
      <c r="B294" s="9" t="s">
        <v>63</v>
      </c>
      <c r="C294" s="20"/>
      <c r="D294" s="72"/>
      <c r="E294" s="72"/>
      <c r="F294" s="95"/>
      <c r="G294" s="378">
        <f t="shared" si="30"/>
        <v>0</v>
      </c>
      <c r="H294" s="44"/>
      <c r="I294" s="44"/>
      <c r="J294" s="44"/>
      <c r="K294" s="367"/>
      <c r="L294" s="520">
        <f t="shared" si="29"/>
      </c>
      <c r="M294" s="169"/>
      <c r="N294" s="199"/>
      <c r="O294" s="199"/>
    </row>
    <row r="295" spans="1:15" s="1" customFormat="1" ht="12.75">
      <c r="A295" s="224">
        <v>336314</v>
      </c>
      <c r="B295" s="9" t="s">
        <v>64</v>
      </c>
      <c r="C295" s="20"/>
      <c r="D295" s="72"/>
      <c r="E295" s="72"/>
      <c r="F295" s="95"/>
      <c r="G295" s="378">
        <f t="shared" si="30"/>
        <v>0</v>
      </c>
      <c r="H295" s="44"/>
      <c r="I295" s="44"/>
      <c r="J295" s="44"/>
      <c r="K295" s="367"/>
      <c r="L295" s="520">
        <f t="shared" si="29"/>
      </c>
      <c r="M295" s="169"/>
      <c r="N295" s="199"/>
      <c r="O295" s="199"/>
    </row>
    <row r="296" spans="1:15" s="1" customFormat="1" ht="12.75">
      <c r="A296" s="224">
        <v>336315</v>
      </c>
      <c r="B296" s="9" t="s">
        <v>65</v>
      </c>
      <c r="C296" s="20"/>
      <c r="D296" s="72"/>
      <c r="E296" s="72"/>
      <c r="F296" s="95"/>
      <c r="G296" s="378">
        <f t="shared" si="30"/>
        <v>0</v>
      </c>
      <c r="H296" s="38"/>
      <c r="I296" s="41"/>
      <c r="J296" s="41"/>
      <c r="K296" s="367"/>
      <c r="L296" s="520">
        <f t="shared" si="29"/>
      </c>
      <c r="M296" s="169"/>
      <c r="N296" s="199"/>
      <c r="O296" s="199"/>
    </row>
    <row r="297" spans="1:15" s="1" customFormat="1" ht="12.75">
      <c r="A297" s="224">
        <v>336316</v>
      </c>
      <c r="B297" s="9" t="s">
        <v>66</v>
      </c>
      <c r="C297" s="20"/>
      <c r="D297" s="72"/>
      <c r="E297" s="72"/>
      <c r="F297" s="95"/>
      <c r="G297" s="378">
        <f t="shared" si="30"/>
        <v>0</v>
      </c>
      <c r="H297" s="38"/>
      <c r="I297" s="41"/>
      <c r="J297" s="41"/>
      <c r="K297" s="367"/>
      <c r="L297" s="520">
        <f t="shared" si="29"/>
      </c>
      <c r="M297" s="169"/>
      <c r="N297" s="199"/>
      <c r="O297" s="199"/>
    </row>
    <row r="298" spans="1:15" s="1" customFormat="1" ht="12.75">
      <c r="A298" s="224">
        <v>336317</v>
      </c>
      <c r="B298" s="9" t="s">
        <v>67</v>
      </c>
      <c r="C298" s="20"/>
      <c r="D298" s="72"/>
      <c r="E298" s="72"/>
      <c r="F298" s="95"/>
      <c r="G298" s="378">
        <f t="shared" si="30"/>
        <v>0</v>
      </c>
      <c r="H298" s="38"/>
      <c r="I298" s="41"/>
      <c r="J298" s="41"/>
      <c r="K298" s="367"/>
      <c r="L298" s="520">
        <f t="shared" si="29"/>
      </c>
      <c r="M298" s="169"/>
      <c r="N298" s="199"/>
      <c r="O298" s="199"/>
    </row>
    <row r="299" spans="1:15" s="1" customFormat="1" ht="12.75">
      <c r="A299" s="224">
        <v>336318</v>
      </c>
      <c r="B299" s="9" t="s">
        <v>68</v>
      </c>
      <c r="C299" s="20"/>
      <c r="D299" s="72"/>
      <c r="E299" s="72"/>
      <c r="F299" s="95"/>
      <c r="G299" s="378">
        <f t="shared" si="30"/>
        <v>0</v>
      </c>
      <c r="H299" s="38"/>
      <c r="I299" s="41"/>
      <c r="J299" s="41"/>
      <c r="K299" s="367"/>
      <c r="L299" s="520">
        <f t="shared" si="29"/>
      </c>
      <c r="M299" s="169"/>
      <c r="N299" s="199"/>
      <c r="O299" s="199"/>
    </row>
    <row r="300" spans="1:15" s="1" customFormat="1" ht="12.75">
      <c r="A300" s="224">
        <v>336319</v>
      </c>
      <c r="B300" s="9" t="s">
        <v>69</v>
      </c>
      <c r="C300" s="20"/>
      <c r="D300" s="72"/>
      <c r="E300" s="72"/>
      <c r="F300" s="95"/>
      <c r="G300" s="378">
        <f t="shared" si="30"/>
        <v>0</v>
      </c>
      <c r="H300" s="38"/>
      <c r="I300" s="41"/>
      <c r="J300" s="41"/>
      <c r="K300" s="367"/>
      <c r="L300" s="520">
        <f t="shared" si="29"/>
      </c>
      <c r="M300" s="169"/>
      <c r="N300" s="199"/>
      <c r="O300" s="199"/>
    </row>
    <row r="301" spans="1:15" s="1" customFormat="1" ht="12.75">
      <c r="A301" s="224">
        <v>336320</v>
      </c>
      <c r="B301" s="9" t="s">
        <v>70</v>
      </c>
      <c r="C301" s="20"/>
      <c r="D301" s="72"/>
      <c r="E301" s="72"/>
      <c r="F301" s="95"/>
      <c r="G301" s="378">
        <f t="shared" si="30"/>
        <v>0</v>
      </c>
      <c r="H301" s="38"/>
      <c r="I301" s="41"/>
      <c r="J301" s="41"/>
      <c r="K301" s="367"/>
      <c r="L301" s="520">
        <f t="shared" si="29"/>
      </c>
      <c r="M301" s="169"/>
      <c r="N301" s="199"/>
      <c r="O301" s="199"/>
    </row>
    <row r="302" spans="1:15" s="1" customFormat="1" ht="12.75">
      <c r="A302" s="224">
        <v>336321</v>
      </c>
      <c r="B302" s="9" t="s">
        <v>71</v>
      </c>
      <c r="C302" s="20"/>
      <c r="D302" s="72"/>
      <c r="E302" s="72"/>
      <c r="F302" s="95"/>
      <c r="G302" s="378">
        <f t="shared" si="30"/>
        <v>0</v>
      </c>
      <c r="H302" s="38"/>
      <c r="I302" s="41"/>
      <c r="J302" s="41"/>
      <c r="K302" s="367"/>
      <c r="L302" s="520">
        <f t="shared" si="29"/>
      </c>
      <c r="M302" s="169"/>
      <c r="N302" s="199"/>
      <c r="O302" s="199"/>
    </row>
    <row r="303" spans="1:15" s="1" customFormat="1" ht="12.75">
      <c r="A303" s="224">
        <v>336323</v>
      </c>
      <c r="B303" s="9" t="s">
        <v>72</v>
      </c>
      <c r="C303" s="20"/>
      <c r="D303" s="72"/>
      <c r="E303" s="72"/>
      <c r="F303" s="95"/>
      <c r="G303" s="378">
        <f t="shared" si="30"/>
        <v>0</v>
      </c>
      <c r="H303" s="38"/>
      <c r="I303" s="41"/>
      <c r="J303" s="41"/>
      <c r="K303" s="367"/>
      <c r="L303" s="520">
        <f t="shared" si="29"/>
      </c>
      <c r="M303" s="169"/>
      <c r="N303" s="199"/>
      <c r="O303" s="199"/>
    </row>
    <row r="304" spans="1:15" s="1" customFormat="1" ht="12.75">
      <c r="A304" s="224">
        <v>336325</v>
      </c>
      <c r="B304" s="9" t="s">
        <v>73</v>
      </c>
      <c r="C304" s="20"/>
      <c r="D304" s="72"/>
      <c r="E304" s="72"/>
      <c r="F304" s="95"/>
      <c r="G304" s="378">
        <f t="shared" si="30"/>
        <v>0</v>
      </c>
      <c r="H304" s="38"/>
      <c r="I304" s="41"/>
      <c r="J304" s="41"/>
      <c r="K304" s="367"/>
      <c r="L304" s="520">
        <f t="shared" si="29"/>
      </c>
      <c r="M304" s="169"/>
      <c r="N304" s="199"/>
      <c r="O304" s="199"/>
    </row>
    <row r="305" spans="1:15" s="1" customFormat="1" ht="12.75">
      <c r="A305" s="224">
        <v>336327</v>
      </c>
      <c r="B305" s="9" t="s">
        <v>74</v>
      </c>
      <c r="C305" s="20"/>
      <c r="D305" s="72"/>
      <c r="E305" s="72"/>
      <c r="F305" s="95"/>
      <c r="G305" s="378">
        <f t="shared" si="30"/>
        <v>0</v>
      </c>
      <c r="H305" s="38"/>
      <c r="I305" s="41"/>
      <c r="J305" s="41"/>
      <c r="K305" s="367"/>
      <c r="L305" s="520">
        <f t="shared" si="29"/>
      </c>
      <c r="M305" s="169"/>
      <c r="N305" s="199"/>
      <c r="O305" s="199"/>
    </row>
    <row r="306" spans="1:15" s="1" customFormat="1" ht="12.75">
      <c r="A306" s="224">
        <v>336330</v>
      </c>
      <c r="B306" s="9" t="s">
        <v>75</v>
      </c>
      <c r="C306" s="20"/>
      <c r="D306" s="72"/>
      <c r="E306" s="72"/>
      <c r="F306" s="95"/>
      <c r="G306" s="378">
        <f t="shared" si="30"/>
        <v>0</v>
      </c>
      <c r="H306" s="38"/>
      <c r="I306" s="41"/>
      <c r="J306" s="41"/>
      <c r="K306" s="367"/>
      <c r="L306" s="520">
        <f t="shared" si="29"/>
      </c>
      <c r="M306" s="169"/>
      <c r="N306" s="199"/>
      <c r="O306" s="199"/>
    </row>
    <row r="307" spans="1:15" s="1" customFormat="1" ht="12.75">
      <c r="A307" s="224">
        <v>336332</v>
      </c>
      <c r="B307" s="9" t="s">
        <v>76</v>
      </c>
      <c r="C307" s="20"/>
      <c r="D307" s="72"/>
      <c r="E307" s="72"/>
      <c r="F307" s="95"/>
      <c r="G307" s="378">
        <f t="shared" si="30"/>
        <v>0</v>
      </c>
      <c r="H307" s="38"/>
      <c r="I307" s="41"/>
      <c r="J307" s="41"/>
      <c r="K307" s="367"/>
      <c r="L307" s="520">
        <f t="shared" si="29"/>
      </c>
      <c r="M307" s="169"/>
      <c r="N307" s="199"/>
      <c r="O307" s="199"/>
    </row>
    <row r="308" spans="1:15" s="1" customFormat="1" ht="12.75">
      <c r="A308" s="224">
        <v>336334</v>
      </c>
      <c r="B308" s="9" t="s">
        <v>77</v>
      </c>
      <c r="C308" s="20"/>
      <c r="D308" s="72"/>
      <c r="E308" s="72"/>
      <c r="F308" s="95"/>
      <c r="G308" s="378">
        <f t="shared" si="30"/>
        <v>0</v>
      </c>
      <c r="H308" s="38"/>
      <c r="I308" s="41"/>
      <c r="J308" s="41"/>
      <c r="K308" s="367"/>
      <c r="L308" s="520">
        <f t="shared" si="29"/>
      </c>
      <c r="M308" s="169"/>
      <c r="N308" s="199"/>
      <c r="O308" s="199"/>
    </row>
    <row r="309" spans="1:15" s="1" customFormat="1" ht="12.75">
      <c r="A309" s="224">
        <v>336341</v>
      </c>
      <c r="B309" s="9" t="s">
        <v>78</v>
      </c>
      <c r="C309" s="20"/>
      <c r="D309" s="72"/>
      <c r="E309" s="72"/>
      <c r="F309" s="95"/>
      <c r="G309" s="378">
        <f t="shared" si="30"/>
        <v>0</v>
      </c>
      <c r="H309" s="38"/>
      <c r="I309" s="41"/>
      <c r="J309" s="41"/>
      <c r="K309" s="367"/>
      <c r="L309" s="520">
        <f t="shared" si="29"/>
      </c>
      <c r="M309" s="169"/>
      <c r="N309" s="199"/>
      <c r="O309" s="199"/>
    </row>
    <row r="310" spans="1:15" s="1" customFormat="1" ht="12.75">
      <c r="A310" s="224">
        <v>336342</v>
      </c>
      <c r="B310" s="9" t="s">
        <v>79</v>
      </c>
      <c r="C310" s="20"/>
      <c r="D310" s="72"/>
      <c r="E310" s="72"/>
      <c r="F310" s="95"/>
      <c r="G310" s="378">
        <f t="shared" si="30"/>
        <v>0</v>
      </c>
      <c r="H310" s="38"/>
      <c r="I310" s="41"/>
      <c r="J310" s="41"/>
      <c r="K310" s="367"/>
      <c r="L310" s="520">
        <f t="shared" si="29"/>
      </c>
      <c r="M310" s="169"/>
      <c r="N310" s="199"/>
      <c r="O310" s="199"/>
    </row>
    <row r="311" spans="1:15" s="1" customFormat="1" ht="12.75">
      <c r="A311" s="224">
        <v>336350</v>
      </c>
      <c r="B311" s="9" t="s">
        <v>80</v>
      </c>
      <c r="C311" s="20"/>
      <c r="D311" s="72"/>
      <c r="E311" s="72"/>
      <c r="F311" s="95"/>
      <c r="G311" s="378">
        <f t="shared" si="30"/>
        <v>0</v>
      </c>
      <c r="H311" s="38"/>
      <c r="I311" s="41"/>
      <c r="J311" s="41"/>
      <c r="K311" s="367"/>
      <c r="L311" s="520">
        <f t="shared" si="29"/>
      </c>
      <c r="M311" s="169"/>
      <c r="N311" s="199"/>
      <c r="O311" s="199"/>
    </row>
    <row r="312" spans="1:15" s="1" customFormat="1" ht="12.75">
      <c r="A312" s="224">
        <v>336351</v>
      </c>
      <c r="B312" s="12" t="s">
        <v>0</v>
      </c>
      <c r="C312" s="20"/>
      <c r="D312" s="72"/>
      <c r="E312" s="72"/>
      <c r="F312" s="95"/>
      <c r="G312" s="378">
        <f>IF(X=0,(IF(Me=0,Sa,Me*Sa)),(IF(Me=0,Sa*X,Me*X*Sa)))</f>
        <v>0</v>
      </c>
      <c r="H312" s="38"/>
      <c r="I312" s="39"/>
      <c r="J312" s="39"/>
      <c r="K312" s="367"/>
      <c r="L312" s="520">
        <f t="shared" si="29"/>
      </c>
      <c r="M312" s="169"/>
      <c r="N312" s="199"/>
      <c r="O312" s="199"/>
    </row>
    <row r="313" spans="1:15" s="1" customFormat="1" ht="12.75">
      <c r="A313" s="224">
        <v>336360</v>
      </c>
      <c r="B313" s="9" t="s">
        <v>81</v>
      </c>
      <c r="C313" s="20"/>
      <c r="D313" s="72"/>
      <c r="E313" s="72"/>
      <c r="F313" s="95"/>
      <c r="G313" s="378">
        <f t="shared" si="30"/>
        <v>0</v>
      </c>
      <c r="H313" s="38"/>
      <c r="I313" s="41"/>
      <c r="J313" s="41"/>
      <c r="K313" s="367"/>
      <c r="L313" s="520">
        <f t="shared" si="29"/>
      </c>
      <c r="M313" s="169"/>
      <c r="N313" s="199"/>
      <c r="O313" s="199"/>
    </row>
    <row r="314" spans="1:15" s="1" customFormat="1" ht="12.75">
      <c r="A314" s="224">
        <v>336361</v>
      </c>
      <c r="B314" s="9" t="s">
        <v>82</v>
      </c>
      <c r="C314" s="20"/>
      <c r="D314" s="72"/>
      <c r="E314" s="72"/>
      <c r="F314" s="95"/>
      <c r="G314" s="378">
        <f t="shared" si="30"/>
        <v>0</v>
      </c>
      <c r="H314" s="38"/>
      <c r="I314" s="41"/>
      <c r="J314" s="41"/>
      <c r="K314" s="367"/>
      <c r="L314" s="520">
        <f t="shared" si="29"/>
      </c>
      <c r="M314" s="169"/>
      <c r="N314" s="199"/>
      <c r="O314" s="199"/>
    </row>
    <row r="315" spans="1:15" s="1" customFormat="1" ht="12.75">
      <c r="A315" s="224">
        <v>336362</v>
      </c>
      <c r="B315" s="9" t="s">
        <v>83</v>
      </c>
      <c r="C315" s="20"/>
      <c r="D315" s="72"/>
      <c r="E315" s="72"/>
      <c r="F315" s="95"/>
      <c r="G315" s="378">
        <f t="shared" si="30"/>
        <v>0</v>
      </c>
      <c r="H315" s="38"/>
      <c r="I315" s="41"/>
      <c r="J315" s="41"/>
      <c r="K315" s="367"/>
      <c r="L315" s="520">
        <f t="shared" si="29"/>
      </c>
      <c r="M315" s="169"/>
      <c r="N315" s="199"/>
      <c r="O315" s="199"/>
    </row>
    <row r="316" spans="1:15" s="1" customFormat="1" ht="12.75">
      <c r="A316" s="224">
        <v>338673</v>
      </c>
      <c r="B316" s="9" t="s">
        <v>370</v>
      </c>
      <c r="C316" s="20"/>
      <c r="D316" s="72"/>
      <c r="E316" s="72"/>
      <c r="F316" s="95"/>
      <c r="G316" s="378">
        <f>IF(X=0,(IF(Me=0,Sa,Me*Sa)),(IF(Me=0,Sa*X,Me*X*Sa)))</f>
        <v>0</v>
      </c>
      <c r="H316" s="38"/>
      <c r="I316" s="41"/>
      <c r="J316" s="41"/>
      <c r="K316" s="367"/>
      <c r="L316" s="520">
        <f t="shared" si="29"/>
      </c>
      <c r="M316" s="169"/>
      <c r="N316" s="199"/>
      <c r="O316" s="199"/>
    </row>
    <row r="317" spans="1:15" s="1" customFormat="1" ht="12.75">
      <c r="A317" s="224">
        <v>339010</v>
      </c>
      <c r="B317" s="9" t="s">
        <v>556</v>
      </c>
      <c r="C317" s="20"/>
      <c r="D317" s="72"/>
      <c r="E317" s="72"/>
      <c r="F317" s="95"/>
      <c r="G317" s="378">
        <f t="shared" si="30"/>
        <v>0</v>
      </c>
      <c r="H317" s="38"/>
      <c r="I317" s="41"/>
      <c r="J317" s="41"/>
      <c r="K317" s="367"/>
      <c r="L317" s="520">
        <f t="shared" si="29"/>
      </c>
      <c r="M317" s="169"/>
      <c r="N317" s="199"/>
      <c r="O317" s="199"/>
    </row>
    <row r="318" spans="1:15" s="1" customFormat="1" ht="12.75">
      <c r="A318" s="224">
        <v>339011</v>
      </c>
      <c r="B318" s="9" t="s">
        <v>11</v>
      </c>
      <c r="C318" s="20"/>
      <c r="D318" s="72"/>
      <c r="E318" s="72"/>
      <c r="F318" s="95"/>
      <c r="G318" s="378">
        <f t="shared" si="30"/>
        <v>0</v>
      </c>
      <c r="H318" s="38"/>
      <c r="I318" s="41"/>
      <c r="J318" s="41"/>
      <c r="K318" s="367"/>
      <c r="L318" s="520">
        <f t="shared" si="29"/>
      </c>
      <c r="M318" s="169"/>
      <c r="N318" s="199"/>
      <c r="O318" s="199"/>
    </row>
    <row r="319" spans="1:15" s="1" customFormat="1" ht="12.75">
      <c r="A319" s="224">
        <v>339023</v>
      </c>
      <c r="B319" s="9" t="s">
        <v>559</v>
      </c>
      <c r="C319" s="20"/>
      <c r="D319" s="72"/>
      <c r="E319" s="72"/>
      <c r="F319" s="95"/>
      <c r="G319" s="378">
        <f t="shared" si="30"/>
        <v>0</v>
      </c>
      <c r="H319" s="38"/>
      <c r="I319" s="41"/>
      <c r="J319" s="41"/>
      <c r="K319" s="367"/>
      <c r="L319" s="520">
        <f t="shared" si="29"/>
      </c>
      <c r="M319" s="169"/>
      <c r="N319" s="199"/>
      <c r="O319" s="199"/>
    </row>
    <row r="320" spans="1:15" s="1" customFormat="1" ht="12.75">
      <c r="A320" s="224">
        <v>339025</v>
      </c>
      <c r="B320" s="9" t="s">
        <v>560</v>
      </c>
      <c r="C320" s="20"/>
      <c r="D320" s="72"/>
      <c r="E320" s="72"/>
      <c r="F320" s="95"/>
      <c r="G320" s="378">
        <f t="shared" si="30"/>
        <v>0</v>
      </c>
      <c r="H320" s="38"/>
      <c r="I320" s="41"/>
      <c r="J320" s="41"/>
      <c r="K320" s="367"/>
      <c r="L320" s="520">
        <f t="shared" si="29"/>
      </c>
      <c r="M320" s="169"/>
      <c r="N320" s="199"/>
      <c r="O320" s="199"/>
    </row>
    <row r="321" spans="1:15" s="1" customFormat="1" ht="12.75">
      <c r="A321" s="224">
        <v>339027</v>
      </c>
      <c r="B321" s="9" t="s">
        <v>15</v>
      </c>
      <c r="C321" s="20"/>
      <c r="D321" s="72"/>
      <c r="E321" s="72"/>
      <c r="F321" s="95"/>
      <c r="G321" s="378">
        <f t="shared" si="30"/>
        <v>0</v>
      </c>
      <c r="H321" s="38"/>
      <c r="I321" s="41"/>
      <c r="J321" s="41"/>
      <c r="K321" s="367"/>
      <c r="L321" s="520">
        <f t="shared" si="29"/>
      </c>
      <c r="M321" s="169"/>
      <c r="N321" s="199"/>
      <c r="O321" s="199"/>
    </row>
    <row r="322" spans="1:15" s="1" customFormat="1" ht="12.75">
      <c r="A322" s="224">
        <v>339029</v>
      </c>
      <c r="B322" s="9" t="s">
        <v>561</v>
      </c>
      <c r="C322" s="20"/>
      <c r="D322" s="72"/>
      <c r="E322" s="72"/>
      <c r="F322" s="95"/>
      <c r="G322" s="378">
        <f t="shared" si="30"/>
        <v>0</v>
      </c>
      <c r="H322" s="38"/>
      <c r="I322" s="41"/>
      <c r="J322" s="41"/>
      <c r="K322" s="367"/>
      <c r="L322" s="520">
        <f t="shared" si="29"/>
      </c>
      <c r="M322" s="169"/>
      <c r="N322" s="199"/>
      <c r="O322" s="199"/>
    </row>
    <row r="323" spans="1:15" s="1" customFormat="1" ht="12.75">
      <c r="A323" s="224">
        <v>339040</v>
      </c>
      <c r="B323" s="9" t="s">
        <v>769</v>
      </c>
      <c r="C323" s="20"/>
      <c r="D323" s="72"/>
      <c r="E323" s="72"/>
      <c r="F323" s="95"/>
      <c r="G323" s="378">
        <f t="shared" si="30"/>
        <v>0</v>
      </c>
      <c r="H323" s="38"/>
      <c r="I323" s="41"/>
      <c r="J323" s="41"/>
      <c r="K323" s="367"/>
      <c r="L323" s="520">
        <f t="shared" si="29"/>
      </c>
      <c r="M323" s="169"/>
      <c r="N323" s="199"/>
      <c r="O323" s="199"/>
    </row>
    <row r="324" spans="1:15" s="1" customFormat="1" ht="12.75">
      <c r="A324" s="224">
        <v>339050</v>
      </c>
      <c r="B324" s="9" t="s">
        <v>17</v>
      </c>
      <c r="C324" s="20"/>
      <c r="D324" s="72"/>
      <c r="E324" s="72"/>
      <c r="F324" s="95"/>
      <c r="G324" s="378">
        <f t="shared" si="30"/>
        <v>0</v>
      </c>
      <c r="H324" s="38"/>
      <c r="I324" s="41"/>
      <c r="J324" s="41"/>
      <c r="K324" s="367"/>
      <c r="L324" s="520">
        <f t="shared" si="29"/>
      </c>
      <c r="M324" s="169"/>
      <c r="N324" s="199"/>
      <c r="O324" s="199"/>
    </row>
    <row r="325" spans="1:15" s="1" customFormat="1" ht="12.75">
      <c r="A325" s="224">
        <v>339051</v>
      </c>
      <c r="B325" s="9" t="s">
        <v>84</v>
      </c>
      <c r="C325" s="20"/>
      <c r="D325" s="72"/>
      <c r="E325" s="72"/>
      <c r="F325" s="95"/>
      <c r="G325" s="378">
        <f t="shared" si="30"/>
        <v>0</v>
      </c>
      <c r="H325" s="38"/>
      <c r="I325" s="41"/>
      <c r="J325" s="41"/>
      <c r="K325" s="367"/>
      <c r="L325" s="520">
        <f t="shared" si="29"/>
      </c>
      <c r="M325" s="169"/>
      <c r="N325" s="199"/>
      <c r="O325" s="199"/>
    </row>
    <row r="326" spans="1:15" s="1" customFormat="1" ht="12.75">
      <c r="A326" s="224">
        <v>339052</v>
      </c>
      <c r="B326" s="9" t="s">
        <v>85</v>
      </c>
      <c r="C326" s="20"/>
      <c r="D326" s="72"/>
      <c r="E326" s="72"/>
      <c r="F326" s="95"/>
      <c r="G326" s="378">
        <f t="shared" si="30"/>
        <v>0</v>
      </c>
      <c r="H326" s="38"/>
      <c r="I326" s="41"/>
      <c r="J326" s="41"/>
      <c r="K326" s="367"/>
      <c r="L326" s="520">
        <f t="shared" si="29"/>
      </c>
      <c r="M326" s="169"/>
      <c r="N326" s="199"/>
      <c r="O326" s="199"/>
    </row>
    <row r="327" spans="1:15" s="1" customFormat="1" ht="12.75">
      <c r="A327" s="224">
        <v>339053</v>
      </c>
      <c r="B327" s="9" t="s">
        <v>86</v>
      </c>
      <c r="C327" s="20"/>
      <c r="D327" s="72"/>
      <c r="E327" s="72"/>
      <c r="F327" s="95"/>
      <c r="G327" s="378">
        <f t="shared" si="30"/>
        <v>0</v>
      </c>
      <c r="H327" s="38"/>
      <c r="I327" s="41"/>
      <c r="J327" s="41"/>
      <c r="K327" s="367"/>
      <c r="L327" s="520">
        <f t="shared" si="29"/>
      </c>
      <c r="M327" s="169"/>
      <c r="N327" s="199"/>
      <c r="O327" s="199"/>
    </row>
    <row r="328" spans="1:15" s="1" customFormat="1" ht="12.75">
      <c r="A328" s="224">
        <v>339054</v>
      </c>
      <c r="B328" s="9" t="s">
        <v>87</v>
      </c>
      <c r="C328" s="20"/>
      <c r="D328" s="72"/>
      <c r="E328" s="72"/>
      <c r="F328" s="95"/>
      <c r="G328" s="378">
        <f t="shared" si="30"/>
        <v>0</v>
      </c>
      <c r="H328" s="38"/>
      <c r="I328" s="41"/>
      <c r="J328" s="41"/>
      <c r="K328" s="367"/>
      <c r="L328" s="520">
        <f t="shared" si="29"/>
      </c>
      <c r="M328" s="169"/>
      <c r="N328" s="199"/>
      <c r="O328" s="199"/>
    </row>
    <row r="329" spans="1:15" s="1" customFormat="1" ht="12.75">
      <c r="A329" s="224">
        <v>339055</v>
      </c>
      <c r="B329" s="9" t="s">
        <v>18</v>
      </c>
      <c r="C329" s="20"/>
      <c r="D329" s="72"/>
      <c r="E329" s="72"/>
      <c r="F329" s="95"/>
      <c r="G329" s="378">
        <f t="shared" si="30"/>
        <v>0</v>
      </c>
      <c r="H329" s="38"/>
      <c r="I329" s="41"/>
      <c r="J329" s="41"/>
      <c r="K329" s="367"/>
      <c r="L329" s="520">
        <f>IF(FMVA&lt;&gt;"",(Sum*mva)-Sum,"")</f>
      </c>
      <c r="M329" s="169"/>
      <c r="N329" s="199"/>
      <c r="O329" s="199"/>
    </row>
    <row r="330" spans="1:15" s="1" customFormat="1" ht="12.75">
      <c r="A330" s="224">
        <v>339060</v>
      </c>
      <c r="B330" s="9" t="s">
        <v>562</v>
      </c>
      <c r="C330" s="20"/>
      <c r="D330" s="72"/>
      <c r="E330" s="72"/>
      <c r="F330" s="95"/>
      <c r="G330" s="378">
        <f t="shared" si="30"/>
        <v>0</v>
      </c>
      <c r="H330" s="38"/>
      <c r="I330" s="41"/>
      <c r="J330" s="41"/>
      <c r="K330" s="367"/>
      <c r="L330" s="520">
        <f>IF(FMVA&lt;&gt;"",(Sum*mva)-Sum,"")</f>
      </c>
      <c r="M330" s="169"/>
      <c r="N330" s="199"/>
      <c r="O330" s="199"/>
    </row>
    <row r="331" spans="1:15" s="1" customFormat="1" ht="12.75">
      <c r="A331" s="224">
        <v>339064</v>
      </c>
      <c r="B331" s="9" t="s">
        <v>21</v>
      </c>
      <c r="C331" s="20"/>
      <c r="D331" s="72"/>
      <c r="E331" s="72"/>
      <c r="F331" s="95"/>
      <c r="G331" s="378">
        <f t="shared" si="30"/>
        <v>0</v>
      </c>
      <c r="H331" s="38"/>
      <c r="I331" s="41"/>
      <c r="J331" s="41"/>
      <c r="K331" s="367"/>
      <c r="L331" s="520">
        <f>IF(FMVA&lt;&gt;"",(Sum*mva)-Sum,"")</f>
      </c>
      <c r="M331" s="169"/>
      <c r="N331" s="199"/>
      <c r="O331" s="199"/>
    </row>
    <row r="332" spans="1:15" s="1" customFormat="1" ht="12.75">
      <c r="A332" s="224">
        <v>339069</v>
      </c>
      <c r="B332" s="218" t="s">
        <v>564</v>
      </c>
      <c r="C332" s="219" t="s">
        <v>416</v>
      </c>
      <c r="D332" s="220"/>
      <c r="E332" s="220"/>
      <c r="F332" s="221"/>
      <c r="G332" s="379">
        <f t="shared" si="30"/>
        <v>0</v>
      </c>
      <c r="H332" s="38"/>
      <c r="I332" s="41"/>
      <c r="J332" s="41"/>
      <c r="K332" s="367"/>
      <c r="L332" s="520">
        <f>IF(FMVA&lt;&gt;"",(Sum*mva)-Sum,"")</f>
      </c>
      <c r="M332" s="169"/>
      <c r="N332" s="199"/>
      <c r="O332" s="199"/>
    </row>
    <row r="333" spans="1:15" s="1" customFormat="1" ht="13.5" thickBot="1">
      <c r="A333" s="231" t="s">
        <v>401</v>
      </c>
      <c r="B333" s="6"/>
      <c r="C333" s="22"/>
      <c r="D333" s="44"/>
      <c r="E333" s="71"/>
      <c r="F333" s="90" t="s">
        <v>570</v>
      </c>
      <c r="G333" s="383">
        <f>SUM(G265:G332)</f>
        <v>0</v>
      </c>
      <c r="H333" s="38"/>
      <c r="I333" s="44"/>
      <c r="J333" s="44"/>
      <c r="K333" s="366"/>
      <c r="L333" s="383">
        <f>SUM(L265:L332)</f>
        <v>0</v>
      </c>
      <c r="M333" s="169"/>
      <c r="N333" s="199"/>
      <c r="O333" s="199"/>
    </row>
    <row r="334" spans="1:15" s="1" customFormat="1" ht="0.75" customHeight="1" thickTop="1">
      <c r="A334" s="226"/>
      <c r="B334" s="3"/>
      <c r="C334" s="21"/>
      <c r="D334" s="44"/>
      <c r="E334" s="71"/>
      <c r="F334" s="44"/>
      <c r="G334" s="44"/>
      <c r="H334" s="38"/>
      <c r="I334" s="41"/>
      <c r="J334" s="41"/>
      <c r="K334" s="366"/>
      <c r="L334" s="520">
        <f>IF(E334=mva,G334-(G334/mva),"")</f>
      </c>
      <c r="M334" s="169"/>
      <c r="N334" s="199"/>
      <c r="O334" s="199"/>
    </row>
    <row r="335" spans="1:15" s="1" customFormat="1" ht="24.75" customHeight="1" thickTop="1">
      <c r="A335" s="228" t="s">
        <v>522</v>
      </c>
      <c r="B335" s="2"/>
      <c r="C335" s="21"/>
      <c r="D335" s="171" t="s">
        <v>422</v>
      </c>
      <c r="E335" s="172" t="s">
        <v>423</v>
      </c>
      <c r="F335" s="171" t="s">
        <v>424</v>
      </c>
      <c r="G335" s="171" t="s">
        <v>425</v>
      </c>
      <c r="H335" s="171" t="s">
        <v>426</v>
      </c>
      <c r="I335" s="173" t="s">
        <v>427</v>
      </c>
      <c r="J335" s="173"/>
      <c r="K335" s="366"/>
      <c r="L335" s="518" t="s">
        <v>688</v>
      </c>
      <c r="M335" s="169"/>
      <c r="N335" s="199"/>
      <c r="O335" s="199"/>
    </row>
    <row r="336" spans="1:15" s="1" customFormat="1" ht="12.75">
      <c r="A336" s="224">
        <v>341410</v>
      </c>
      <c r="B336" s="9" t="s">
        <v>88</v>
      </c>
      <c r="C336" s="20"/>
      <c r="D336" s="72"/>
      <c r="E336" s="72"/>
      <c r="F336" s="95"/>
      <c r="G336" s="377">
        <f aca="true" t="shared" si="31" ref="G336:G354">IF(X=0,(IF(Me=0,Sa,Me*Sa)),(IF(Me=0,Sa*X,Me*X*Sa)))</f>
        <v>0</v>
      </c>
      <c r="H336" s="375">
        <f aca="true" t="shared" si="32" ref="H336:H354">IF(Sum,Sos,0)</f>
        <v>0</v>
      </c>
      <c r="I336" s="376">
        <f aca="true" t="shared" si="33" ref="I336:I354">IF(Prosent&lt;&gt;0,(Sum*Prosent)/100,0)</f>
        <v>0</v>
      </c>
      <c r="J336" s="41"/>
      <c r="K336" s="367"/>
      <c r="L336" s="520">
        <f aca="true" t="shared" si="34" ref="L336:L370">IF(FMVA&lt;&gt;"",(Sum*mva)-Sum,"")</f>
      </c>
      <c r="M336" s="169"/>
      <c r="N336" s="199"/>
      <c r="O336" s="199"/>
    </row>
    <row r="337" spans="1:15" s="1" customFormat="1" ht="12.75">
      <c r="A337" s="224">
        <v>341411</v>
      </c>
      <c r="B337" s="12" t="s">
        <v>89</v>
      </c>
      <c r="C337" s="20"/>
      <c r="D337" s="55"/>
      <c r="E337" s="72"/>
      <c r="F337" s="381">
        <f>IF(D337=0,0,+G336)</f>
        <v>0</v>
      </c>
      <c r="G337" s="378">
        <f t="shared" si="31"/>
        <v>0</v>
      </c>
      <c r="H337" s="375">
        <f t="shared" si="32"/>
        <v>0</v>
      </c>
      <c r="I337" s="376">
        <f t="shared" si="33"/>
        <v>0</v>
      </c>
      <c r="J337" s="41"/>
      <c r="K337" s="367"/>
      <c r="L337" s="520">
        <f t="shared" si="34"/>
      </c>
      <c r="M337" s="169"/>
      <c r="N337" s="199"/>
      <c r="O337" s="199"/>
    </row>
    <row r="338" spans="1:15" s="1" customFormat="1" ht="12.75">
      <c r="A338" s="224">
        <v>341412</v>
      </c>
      <c r="B338" s="9" t="s">
        <v>90</v>
      </c>
      <c r="C338" s="20"/>
      <c r="D338" s="72"/>
      <c r="E338" s="72"/>
      <c r="F338" s="95"/>
      <c r="G338" s="378">
        <f t="shared" si="31"/>
        <v>0</v>
      </c>
      <c r="H338" s="375">
        <f t="shared" si="32"/>
        <v>0</v>
      </c>
      <c r="I338" s="376">
        <f t="shared" si="33"/>
        <v>0</v>
      </c>
      <c r="J338" s="41"/>
      <c r="K338" s="367"/>
      <c r="L338" s="520">
        <f t="shared" si="34"/>
      </c>
      <c r="M338" s="169"/>
      <c r="N338" s="199"/>
      <c r="O338" s="199"/>
    </row>
    <row r="339" spans="1:15" s="1" customFormat="1" ht="12.75">
      <c r="A339" s="224">
        <v>341413</v>
      </c>
      <c r="B339" s="9" t="s">
        <v>91</v>
      </c>
      <c r="C339" s="20"/>
      <c r="D339" s="55"/>
      <c r="E339" s="72"/>
      <c r="F339" s="381">
        <f>IF(D339=0,0,+G338)</f>
        <v>0</v>
      </c>
      <c r="G339" s="378">
        <f t="shared" si="31"/>
        <v>0</v>
      </c>
      <c r="H339" s="375">
        <f t="shared" si="32"/>
        <v>0</v>
      </c>
      <c r="I339" s="376">
        <f t="shared" si="33"/>
        <v>0</v>
      </c>
      <c r="J339" s="41"/>
      <c r="K339" s="367"/>
      <c r="L339" s="520">
        <f t="shared" si="34"/>
      </c>
      <c r="M339" s="169"/>
      <c r="N339" s="199"/>
      <c r="O339" s="199"/>
    </row>
    <row r="340" spans="1:15" s="1" customFormat="1" ht="12.75">
      <c r="A340" s="224">
        <v>341414</v>
      </c>
      <c r="B340" s="9" t="s">
        <v>92</v>
      </c>
      <c r="C340" s="20"/>
      <c r="D340" s="72"/>
      <c r="E340" s="72"/>
      <c r="F340" s="95"/>
      <c r="G340" s="378">
        <f t="shared" si="31"/>
        <v>0</v>
      </c>
      <c r="H340" s="375">
        <f t="shared" si="32"/>
        <v>0</v>
      </c>
      <c r="I340" s="376">
        <f t="shared" si="33"/>
        <v>0</v>
      </c>
      <c r="J340" s="41"/>
      <c r="K340" s="367"/>
      <c r="L340" s="520">
        <f t="shared" si="34"/>
      </c>
      <c r="M340" s="169"/>
      <c r="N340" s="199"/>
      <c r="O340" s="199"/>
    </row>
    <row r="341" spans="1:15" s="1" customFormat="1" ht="12.75">
      <c r="A341" s="224">
        <v>341415</v>
      </c>
      <c r="B341" s="12" t="s">
        <v>93</v>
      </c>
      <c r="C341" s="20"/>
      <c r="D341" s="55"/>
      <c r="E341" s="72"/>
      <c r="F341" s="381">
        <f>IF(D341=0,0,+G340)</f>
        <v>0</v>
      </c>
      <c r="G341" s="378">
        <f t="shared" si="31"/>
        <v>0</v>
      </c>
      <c r="H341" s="375">
        <f t="shared" si="32"/>
        <v>0</v>
      </c>
      <c r="I341" s="376">
        <f t="shared" si="33"/>
        <v>0</v>
      </c>
      <c r="J341" s="41"/>
      <c r="K341" s="367"/>
      <c r="L341" s="520">
        <f t="shared" si="34"/>
      </c>
      <c r="M341" s="169"/>
      <c r="N341" s="199"/>
      <c r="O341" s="199"/>
    </row>
    <row r="342" spans="1:15" s="1" customFormat="1" ht="12.75">
      <c r="A342" s="224">
        <v>341416</v>
      </c>
      <c r="B342" s="9" t="s">
        <v>94</v>
      </c>
      <c r="C342" s="20"/>
      <c r="D342" s="72"/>
      <c r="E342" s="72"/>
      <c r="F342" s="95"/>
      <c r="G342" s="378">
        <f t="shared" si="31"/>
        <v>0</v>
      </c>
      <c r="H342" s="375">
        <f t="shared" si="32"/>
        <v>0</v>
      </c>
      <c r="I342" s="376">
        <f t="shared" si="33"/>
        <v>0</v>
      </c>
      <c r="J342" s="41"/>
      <c r="K342" s="367"/>
      <c r="L342" s="520">
        <f t="shared" si="34"/>
      </c>
      <c r="M342" s="169"/>
      <c r="N342" s="199"/>
      <c r="O342" s="199"/>
    </row>
    <row r="343" spans="1:15" s="1" customFormat="1" ht="12.75">
      <c r="A343" s="224">
        <v>341417</v>
      </c>
      <c r="B343" s="12" t="s">
        <v>95</v>
      </c>
      <c r="C343" s="20"/>
      <c r="D343" s="55"/>
      <c r="E343" s="72"/>
      <c r="F343" s="381">
        <f>IF(D343=0,0,+G342)</f>
        <v>0</v>
      </c>
      <c r="G343" s="378">
        <f t="shared" si="31"/>
        <v>0</v>
      </c>
      <c r="H343" s="375">
        <f t="shared" si="32"/>
        <v>0</v>
      </c>
      <c r="I343" s="376">
        <f t="shared" si="33"/>
        <v>0</v>
      </c>
      <c r="J343" s="41"/>
      <c r="K343" s="367"/>
      <c r="L343" s="520">
        <f t="shared" si="34"/>
      </c>
      <c r="M343" s="169"/>
      <c r="N343" s="199"/>
      <c r="O343" s="199"/>
    </row>
    <row r="344" spans="1:15" s="1" customFormat="1" ht="12.75">
      <c r="A344" s="224">
        <v>341420</v>
      </c>
      <c r="B344" s="9" t="s">
        <v>96</v>
      </c>
      <c r="C344" s="20"/>
      <c r="D344" s="72"/>
      <c r="E344" s="72"/>
      <c r="F344" s="95"/>
      <c r="G344" s="378">
        <f t="shared" si="31"/>
        <v>0</v>
      </c>
      <c r="H344" s="375">
        <f t="shared" si="32"/>
        <v>0</v>
      </c>
      <c r="I344" s="376">
        <f t="shared" si="33"/>
        <v>0</v>
      </c>
      <c r="J344" s="41"/>
      <c r="K344" s="367"/>
      <c r="L344" s="520">
        <f t="shared" si="34"/>
      </c>
      <c r="M344" s="169"/>
      <c r="N344" s="199"/>
      <c r="O344" s="199"/>
    </row>
    <row r="345" spans="1:15" s="1" customFormat="1" ht="12.75">
      <c r="A345" s="224">
        <v>341421</v>
      </c>
      <c r="B345" s="9" t="s">
        <v>97</v>
      </c>
      <c r="C345" s="20"/>
      <c r="D345" s="55"/>
      <c r="E345" s="72"/>
      <c r="F345" s="381">
        <f>IF(D345=0,0,+G344)</f>
        <v>0</v>
      </c>
      <c r="G345" s="378">
        <f t="shared" si="31"/>
        <v>0</v>
      </c>
      <c r="H345" s="375">
        <f t="shared" si="32"/>
        <v>0</v>
      </c>
      <c r="I345" s="376">
        <f t="shared" si="33"/>
        <v>0</v>
      </c>
      <c r="J345" s="41"/>
      <c r="K345" s="367"/>
      <c r="L345" s="520">
        <f t="shared" si="34"/>
      </c>
      <c r="M345" s="169"/>
      <c r="N345" s="199"/>
      <c r="O345" s="199"/>
    </row>
    <row r="346" spans="1:15" s="1" customFormat="1" ht="12.75">
      <c r="A346" s="224">
        <v>341430</v>
      </c>
      <c r="B346" s="9" t="s">
        <v>98</v>
      </c>
      <c r="C346" s="20"/>
      <c r="D346" s="72"/>
      <c r="E346" s="72"/>
      <c r="F346" s="95"/>
      <c r="G346" s="378">
        <f t="shared" si="31"/>
        <v>0</v>
      </c>
      <c r="H346" s="375">
        <f t="shared" si="32"/>
        <v>0</v>
      </c>
      <c r="I346" s="376">
        <f t="shared" si="33"/>
        <v>0</v>
      </c>
      <c r="J346" s="41"/>
      <c r="K346" s="367"/>
      <c r="L346" s="520">
        <f t="shared" si="34"/>
      </c>
      <c r="M346" s="169"/>
      <c r="N346" s="199"/>
      <c r="O346" s="199"/>
    </row>
    <row r="347" spans="1:15" s="1" customFormat="1" ht="12.75">
      <c r="A347" s="224">
        <v>341431</v>
      </c>
      <c r="B347" s="9" t="s">
        <v>99</v>
      </c>
      <c r="C347" s="20"/>
      <c r="D347" s="55"/>
      <c r="E347" s="72"/>
      <c r="F347" s="381">
        <f>IF(D347=0,0,+G346)</f>
        <v>0</v>
      </c>
      <c r="G347" s="378">
        <f t="shared" si="31"/>
        <v>0</v>
      </c>
      <c r="H347" s="375">
        <f t="shared" si="32"/>
        <v>0</v>
      </c>
      <c r="I347" s="376">
        <f t="shared" si="33"/>
        <v>0</v>
      </c>
      <c r="J347" s="41"/>
      <c r="K347" s="367"/>
      <c r="L347" s="520">
        <f t="shared" si="34"/>
      </c>
      <c r="M347" s="169"/>
      <c r="N347" s="199"/>
      <c r="O347" s="199"/>
    </row>
    <row r="348" spans="1:15" s="1" customFormat="1" ht="12.75">
      <c r="A348" s="224">
        <v>341440</v>
      </c>
      <c r="B348" s="9" t="s">
        <v>100</v>
      </c>
      <c r="C348" s="20"/>
      <c r="D348" s="72"/>
      <c r="E348" s="72"/>
      <c r="F348" s="95"/>
      <c r="G348" s="378">
        <f t="shared" si="31"/>
        <v>0</v>
      </c>
      <c r="H348" s="375">
        <f t="shared" si="32"/>
        <v>0</v>
      </c>
      <c r="I348" s="376">
        <f t="shared" si="33"/>
        <v>0</v>
      </c>
      <c r="J348" s="41"/>
      <c r="K348" s="367"/>
      <c r="L348" s="520">
        <f t="shared" si="34"/>
      </c>
      <c r="M348" s="169"/>
      <c r="N348" s="199"/>
      <c r="O348" s="199"/>
    </row>
    <row r="349" spans="1:15" s="1" customFormat="1" ht="12.75">
      <c r="A349" s="224">
        <v>341441</v>
      </c>
      <c r="B349" s="9" t="s">
        <v>101</v>
      </c>
      <c r="C349" s="20"/>
      <c r="D349" s="55"/>
      <c r="E349" s="72"/>
      <c r="F349" s="381">
        <f>IF(D349=0,0,+G348)</f>
        <v>0</v>
      </c>
      <c r="G349" s="378">
        <f t="shared" si="31"/>
        <v>0</v>
      </c>
      <c r="H349" s="375">
        <f t="shared" si="32"/>
        <v>0</v>
      </c>
      <c r="I349" s="376">
        <f t="shared" si="33"/>
        <v>0</v>
      </c>
      <c r="J349" s="41"/>
      <c r="K349" s="367"/>
      <c r="L349" s="520">
        <f t="shared" si="34"/>
      </c>
      <c r="M349" s="169"/>
      <c r="N349" s="199"/>
      <c r="O349" s="199"/>
    </row>
    <row r="350" spans="1:15" s="1" customFormat="1" ht="12.75">
      <c r="A350" s="224">
        <v>341450</v>
      </c>
      <c r="B350" s="9" t="s">
        <v>820</v>
      </c>
      <c r="C350" s="20"/>
      <c r="D350" s="72"/>
      <c r="E350" s="72"/>
      <c r="F350" s="95"/>
      <c r="G350" s="378">
        <f t="shared" si="31"/>
        <v>0</v>
      </c>
      <c r="H350" s="375">
        <f t="shared" si="32"/>
        <v>0</v>
      </c>
      <c r="I350" s="376">
        <f t="shared" si="33"/>
        <v>0</v>
      </c>
      <c r="J350" s="41"/>
      <c r="K350" s="367"/>
      <c r="L350" s="520">
        <f t="shared" si="34"/>
      </c>
      <c r="M350" s="169"/>
      <c r="N350" s="199"/>
      <c r="O350" s="199"/>
    </row>
    <row r="351" spans="1:15" s="1" customFormat="1" ht="12.75">
      <c r="A351" s="224">
        <v>341451</v>
      </c>
      <c r="B351" s="9" t="s">
        <v>821</v>
      </c>
      <c r="C351" s="20"/>
      <c r="D351" s="55"/>
      <c r="E351" s="72"/>
      <c r="F351" s="381">
        <f>IF(D351=0,0,+G350)</f>
        <v>0</v>
      </c>
      <c r="G351" s="378">
        <f t="shared" si="31"/>
        <v>0</v>
      </c>
      <c r="H351" s="375">
        <f t="shared" si="32"/>
        <v>0</v>
      </c>
      <c r="I351" s="376">
        <f t="shared" si="33"/>
        <v>0</v>
      </c>
      <c r="J351" s="41"/>
      <c r="K351" s="367"/>
      <c r="L351" s="520">
        <f t="shared" si="34"/>
      </c>
      <c r="M351" s="169"/>
      <c r="N351" s="199"/>
      <c r="O351" s="199"/>
    </row>
    <row r="352" spans="1:15" s="1" customFormat="1" ht="12.75">
      <c r="A352" s="224">
        <v>341490</v>
      </c>
      <c r="B352" s="9" t="s">
        <v>102</v>
      </c>
      <c r="C352" s="20"/>
      <c r="D352" s="72"/>
      <c r="E352" s="72"/>
      <c r="F352" s="95"/>
      <c r="G352" s="378">
        <f t="shared" si="31"/>
        <v>0</v>
      </c>
      <c r="H352" s="375">
        <f t="shared" si="32"/>
        <v>0</v>
      </c>
      <c r="I352" s="376">
        <f t="shared" si="33"/>
        <v>0</v>
      </c>
      <c r="J352" s="41"/>
      <c r="K352" s="367"/>
      <c r="L352" s="520">
        <f t="shared" si="34"/>
      </c>
      <c r="M352" s="169"/>
      <c r="N352" s="199"/>
      <c r="O352" s="199"/>
    </row>
    <row r="353" spans="1:15" s="1" customFormat="1" ht="12.75">
      <c r="A353" s="224">
        <v>341491</v>
      </c>
      <c r="B353" s="12" t="s">
        <v>103</v>
      </c>
      <c r="C353" s="20"/>
      <c r="D353" s="55"/>
      <c r="E353" s="72"/>
      <c r="F353" s="381">
        <f>IF(D353=0,0,+G352)</f>
        <v>0</v>
      </c>
      <c r="G353" s="378">
        <f t="shared" si="31"/>
        <v>0</v>
      </c>
      <c r="H353" s="375">
        <f t="shared" si="32"/>
        <v>0</v>
      </c>
      <c r="I353" s="376">
        <f t="shared" si="33"/>
        <v>0</v>
      </c>
      <c r="J353" s="41"/>
      <c r="K353" s="367"/>
      <c r="L353" s="520">
        <f t="shared" si="34"/>
      </c>
      <c r="M353" s="169"/>
      <c r="N353" s="199"/>
      <c r="O353" s="199"/>
    </row>
    <row r="354" spans="1:15" s="1" customFormat="1" ht="12.75">
      <c r="A354" s="224">
        <v>344092</v>
      </c>
      <c r="B354" s="9" t="s">
        <v>590</v>
      </c>
      <c r="C354" s="20"/>
      <c r="D354" s="72"/>
      <c r="E354" s="72"/>
      <c r="F354" s="95"/>
      <c r="G354" s="378">
        <f t="shared" si="31"/>
        <v>0</v>
      </c>
      <c r="H354" s="375">
        <f t="shared" si="32"/>
        <v>0</v>
      </c>
      <c r="I354" s="376">
        <f t="shared" si="33"/>
        <v>0</v>
      </c>
      <c r="J354" s="41"/>
      <c r="K354" s="367"/>
      <c r="L354" s="520">
        <f t="shared" si="34"/>
      </c>
      <c r="M354" s="169"/>
      <c r="N354" s="199"/>
      <c r="O354" s="199"/>
    </row>
    <row r="355" spans="1:15" s="1" customFormat="1" ht="12.75">
      <c r="A355" s="224">
        <v>344095</v>
      </c>
      <c r="B355" s="12" t="s">
        <v>554</v>
      </c>
      <c r="C355" s="20"/>
      <c r="D355" s="73"/>
      <c r="E355" s="73"/>
      <c r="F355" s="98"/>
      <c r="G355" s="384">
        <f>SUM(I336:I354)</f>
        <v>0</v>
      </c>
      <c r="H355" s="38"/>
      <c r="I355" s="39" t="s">
        <v>555</v>
      </c>
      <c r="J355" s="39"/>
      <c r="K355" s="572"/>
      <c r="L355" s="520"/>
      <c r="M355" s="169"/>
      <c r="N355" s="199"/>
      <c r="O355" s="199"/>
    </row>
    <row r="356" spans="1:15" s="1" customFormat="1" ht="12.75">
      <c r="A356" s="224">
        <v>346420</v>
      </c>
      <c r="B356" s="9" t="s">
        <v>104</v>
      </c>
      <c r="C356" s="20"/>
      <c r="D356" s="72"/>
      <c r="E356" s="72"/>
      <c r="F356" s="95"/>
      <c r="G356" s="378">
        <f aca="true" t="shared" si="35" ref="G356:G371">IF(X=0,(IF(Me=0,Sa,Me*Sa)),(IF(Me=0,Sa*X,Me*X*Sa)))</f>
        <v>0</v>
      </c>
      <c r="H356" s="44"/>
      <c r="I356" s="44"/>
      <c r="J356" s="44"/>
      <c r="K356" s="367"/>
      <c r="L356" s="520">
        <f t="shared" si="34"/>
      </c>
      <c r="M356" s="169"/>
      <c r="N356" s="199"/>
      <c r="O356" s="199"/>
    </row>
    <row r="357" spans="1:15" s="1" customFormat="1" ht="12.75">
      <c r="A357" s="224">
        <v>346430</v>
      </c>
      <c r="B357" s="12" t="s">
        <v>105</v>
      </c>
      <c r="C357" s="20"/>
      <c r="D357" s="72"/>
      <c r="E357" s="72"/>
      <c r="F357" s="95"/>
      <c r="G357" s="378">
        <f t="shared" si="35"/>
        <v>0</v>
      </c>
      <c r="H357" s="44"/>
      <c r="I357" s="44"/>
      <c r="J357" s="44"/>
      <c r="K357" s="367"/>
      <c r="L357" s="520">
        <f t="shared" si="34"/>
      </c>
      <c r="M357" s="169"/>
      <c r="N357" s="199"/>
      <c r="O357" s="199"/>
    </row>
    <row r="358" spans="1:15" s="1" customFormat="1" ht="12.75">
      <c r="A358" s="224">
        <v>346440</v>
      </c>
      <c r="B358" s="9" t="s">
        <v>106</v>
      </c>
      <c r="C358" s="20"/>
      <c r="D358" s="72"/>
      <c r="E358" s="72"/>
      <c r="F358" s="95"/>
      <c r="G358" s="378">
        <f t="shared" si="35"/>
        <v>0</v>
      </c>
      <c r="H358" s="44"/>
      <c r="I358" s="44"/>
      <c r="J358" s="44"/>
      <c r="K358" s="367"/>
      <c r="L358" s="520">
        <f t="shared" si="34"/>
      </c>
      <c r="M358" s="169"/>
      <c r="N358" s="199"/>
      <c r="O358" s="199"/>
    </row>
    <row r="359" spans="1:15" s="1" customFormat="1" ht="12.75">
      <c r="A359" s="224">
        <v>346450</v>
      </c>
      <c r="B359" s="9" t="s">
        <v>107</v>
      </c>
      <c r="C359" s="20"/>
      <c r="D359" s="72"/>
      <c r="E359" s="72"/>
      <c r="F359" s="95"/>
      <c r="G359" s="378">
        <f t="shared" si="35"/>
        <v>0</v>
      </c>
      <c r="H359" s="44"/>
      <c r="I359" s="44"/>
      <c r="J359" s="44"/>
      <c r="K359" s="367"/>
      <c r="L359" s="520">
        <f t="shared" si="34"/>
      </c>
      <c r="M359" s="169"/>
      <c r="N359" s="199"/>
      <c r="O359" s="199"/>
    </row>
    <row r="360" spans="1:15" s="1" customFormat="1" ht="12.75">
      <c r="A360" s="224">
        <v>346460</v>
      </c>
      <c r="B360" s="9" t="s">
        <v>108</v>
      </c>
      <c r="C360" s="20"/>
      <c r="D360" s="72"/>
      <c r="E360" s="72"/>
      <c r="F360" s="95"/>
      <c r="G360" s="378">
        <f t="shared" si="35"/>
        <v>0</v>
      </c>
      <c r="H360" s="44"/>
      <c r="I360" s="44"/>
      <c r="J360" s="44"/>
      <c r="K360" s="367"/>
      <c r="L360" s="520">
        <f t="shared" si="34"/>
      </c>
      <c r="M360" s="169"/>
      <c r="N360" s="199"/>
      <c r="O360" s="199"/>
    </row>
    <row r="361" spans="1:15" s="1" customFormat="1" ht="12.75">
      <c r="A361" s="224">
        <v>349010</v>
      </c>
      <c r="B361" s="9" t="s">
        <v>556</v>
      </c>
      <c r="C361" s="20"/>
      <c r="D361" s="72"/>
      <c r="E361" s="72"/>
      <c r="F361" s="95"/>
      <c r="G361" s="378">
        <f t="shared" si="35"/>
        <v>0</v>
      </c>
      <c r="H361" s="38"/>
      <c r="I361" s="42"/>
      <c r="J361" s="42"/>
      <c r="K361" s="367"/>
      <c r="L361" s="520">
        <f t="shared" si="34"/>
      </c>
      <c r="M361" s="169"/>
      <c r="N361" s="199"/>
      <c r="O361" s="199"/>
    </row>
    <row r="362" spans="1:15" s="1" customFormat="1" ht="12.75">
      <c r="A362" s="224">
        <v>349011</v>
      </c>
      <c r="B362" s="9" t="s">
        <v>11</v>
      </c>
      <c r="C362" s="20"/>
      <c r="D362" s="72"/>
      <c r="E362" s="72"/>
      <c r="F362" s="95"/>
      <c r="G362" s="378">
        <f t="shared" si="35"/>
        <v>0</v>
      </c>
      <c r="H362" s="38"/>
      <c r="I362" s="42"/>
      <c r="J362" s="42"/>
      <c r="K362" s="367"/>
      <c r="L362" s="520">
        <f t="shared" si="34"/>
      </c>
      <c r="M362" s="169"/>
      <c r="N362" s="199"/>
      <c r="O362" s="199"/>
    </row>
    <row r="363" spans="1:15" s="1" customFormat="1" ht="12.75">
      <c r="A363" s="224">
        <v>349027</v>
      </c>
      <c r="B363" s="9" t="s">
        <v>15</v>
      </c>
      <c r="C363" s="20"/>
      <c r="D363" s="72"/>
      <c r="E363" s="72"/>
      <c r="F363" s="95"/>
      <c r="G363" s="378">
        <f t="shared" si="35"/>
        <v>0</v>
      </c>
      <c r="H363" s="38"/>
      <c r="I363" s="42"/>
      <c r="J363" s="42"/>
      <c r="K363" s="367"/>
      <c r="L363" s="520">
        <f t="shared" si="34"/>
      </c>
      <c r="M363" s="169"/>
      <c r="N363" s="199"/>
      <c r="O363" s="199"/>
    </row>
    <row r="364" spans="1:15" s="1" customFormat="1" ht="12.75">
      <c r="A364" s="224">
        <v>349040</v>
      </c>
      <c r="B364" s="9" t="s">
        <v>769</v>
      </c>
      <c r="C364" s="20"/>
      <c r="D364" s="72"/>
      <c r="E364" s="72"/>
      <c r="F364" s="95"/>
      <c r="G364" s="378">
        <f t="shared" si="35"/>
        <v>0</v>
      </c>
      <c r="H364" s="38"/>
      <c r="I364" s="42"/>
      <c r="J364" s="42"/>
      <c r="K364" s="367"/>
      <c r="L364" s="520">
        <f t="shared" si="34"/>
      </c>
      <c r="M364" s="169"/>
      <c r="N364" s="199"/>
      <c r="O364" s="199"/>
    </row>
    <row r="365" spans="1:15" s="1" customFormat="1" ht="12.75">
      <c r="A365" s="224">
        <v>349050</v>
      </c>
      <c r="B365" s="9" t="s">
        <v>17</v>
      </c>
      <c r="C365" s="20"/>
      <c r="D365" s="72"/>
      <c r="E365" s="72"/>
      <c r="F365" s="95"/>
      <c r="G365" s="378">
        <f t="shared" si="35"/>
        <v>0</v>
      </c>
      <c r="H365" s="38"/>
      <c r="I365" s="42"/>
      <c r="J365" s="42"/>
      <c r="K365" s="367"/>
      <c r="L365" s="520">
        <f t="shared" si="34"/>
      </c>
      <c r="M365" s="169"/>
      <c r="N365" s="199"/>
      <c r="O365" s="199"/>
    </row>
    <row r="366" spans="1:15" s="1" customFormat="1" ht="12.75">
      <c r="A366" s="224">
        <v>349052</v>
      </c>
      <c r="B366" s="9" t="s">
        <v>85</v>
      </c>
      <c r="C366" s="20"/>
      <c r="D366" s="72"/>
      <c r="E366" s="72"/>
      <c r="F366" s="95"/>
      <c r="G366" s="378">
        <f t="shared" si="35"/>
        <v>0</v>
      </c>
      <c r="H366" s="38"/>
      <c r="I366" s="42"/>
      <c r="J366" s="42"/>
      <c r="K366" s="367"/>
      <c r="L366" s="520">
        <f t="shared" si="34"/>
      </c>
      <c r="M366" s="169"/>
      <c r="N366" s="199"/>
      <c r="O366" s="199"/>
    </row>
    <row r="367" spans="1:15" s="1" customFormat="1" ht="12.75">
      <c r="A367" s="224">
        <v>349053</v>
      </c>
      <c r="B367" s="9" t="s">
        <v>86</v>
      </c>
      <c r="C367" s="20"/>
      <c r="D367" s="72"/>
      <c r="E367" s="72"/>
      <c r="F367" s="95"/>
      <c r="G367" s="378">
        <f t="shared" si="35"/>
        <v>0</v>
      </c>
      <c r="H367" s="38"/>
      <c r="I367" s="42"/>
      <c r="J367" s="42"/>
      <c r="K367" s="367"/>
      <c r="L367" s="520">
        <f t="shared" si="34"/>
      </c>
      <c r="M367" s="169"/>
      <c r="N367" s="199"/>
      <c r="O367" s="199"/>
    </row>
    <row r="368" spans="1:15" s="1" customFormat="1" ht="12.75">
      <c r="A368" s="224">
        <v>349054</v>
      </c>
      <c r="B368" s="9" t="s">
        <v>87</v>
      </c>
      <c r="C368" s="20"/>
      <c r="D368" s="72"/>
      <c r="E368" s="72"/>
      <c r="F368" s="95"/>
      <c r="G368" s="378">
        <f t="shared" si="35"/>
        <v>0</v>
      </c>
      <c r="H368" s="38"/>
      <c r="I368" s="42"/>
      <c r="J368" s="42"/>
      <c r="K368" s="367"/>
      <c r="L368" s="520">
        <f t="shared" si="34"/>
      </c>
      <c r="M368" s="169"/>
      <c r="N368" s="199"/>
      <c r="O368" s="199"/>
    </row>
    <row r="369" spans="1:15" s="1" customFormat="1" ht="12.75">
      <c r="A369" s="224">
        <v>349060</v>
      </c>
      <c r="B369" s="9" t="s">
        <v>562</v>
      </c>
      <c r="C369" s="20"/>
      <c r="D369" s="72"/>
      <c r="E369" s="72"/>
      <c r="F369" s="95"/>
      <c r="G369" s="378">
        <f t="shared" si="35"/>
        <v>0</v>
      </c>
      <c r="H369" s="38"/>
      <c r="I369" s="42"/>
      <c r="J369" s="42"/>
      <c r="K369" s="367"/>
      <c r="L369" s="520">
        <f t="shared" si="34"/>
      </c>
      <c r="M369" s="169"/>
      <c r="N369" s="199"/>
      <c r="O369" s="199"/>
    </row>
    <row r="370" spans="1:15" s="1" customFormat="1" ht="12.75">
      <c r="A370" s="224">
        <v>349064</v>
      </c>
      <c r="B370" s="9" t="s">
        <v>21</v>
      </c>
      <c r="C370" s="20"/>
      <c r="D370" s="72"/>
      <c r="E370" s="72"/>
      <c r="F370" s="95"/>
      <c r="G370" s="378">
        <f t="shared" si="35"/>
        <v>0</v>
      </c>
      <c r="H370" s="38"/>
      <c r="I370" s="42"/>
      <c r="J370" s="42"/>
      <c r="K370" s="367"/>
      <c r="L370" s="520">
        <f t="shared" si="34"/>
      </c>
      <c r="M370" s="169"/>
      <c r="N370" s="199"/>
      <c r="O370" s="199"/>
    </row>
    <row r="371" spans="1:15" s="1" customFormat="1" ht="12.75">
      <c r="A371" s="224">
        <v>349069</v>
      </c>
      <c r="B371" s="218" t="s">
        <v>564</v>
      </c>
      <c r="C371" s="219" t="s">
        <v>416</v>
      </c>
      <c r="D371" s="220"/>
      <c r="E371" s="220"/>
      <c r="F371" s="221"/>
      <c r="G371" s="379">
        <f t="shared" si="35"/>
        <v>0</v>
      </c>
      <c r="H371" s="38"/>
      <c r="I371" s="41"/>
      <c r="J371" s="41"/>
      <c r="K371" s="367"/>
      <c r="L371" s="520">
        <f>IF(FMVA&lt;&gt;"",(Sum*mva)-Sum,"")</f>
      </c>
      <c r="M371" s="169"/>
      <c r="N371" s="199"/>
      <c r="O371" s="199"/>
    </row>
    <row r="372" spans="1:15" s="1" customFormat="1" ht="13.5" thickBot="1">
      <c r="A372" s="231" t="s">
        <v>401</v>
      </c>
      <c r="B372" s="6"/>
      <c r="C372" s="22"/>
      <c r="D372" s="44"/>
      <c r="E372" s="71"/>
      <c r="F372" s="90" t="s">
        <v>570</v>
      </c>
      <c r="G372" s="383">
        <f>SUM(G336:G371)</f>
        <v>0</v>
      </c>
      <c r="H372" s="38"/>
      <c r="I372" s="44"/>
      <c r="J372" s="44"/>
      <c r="K372" s="366"/>
      <c r="L372" s="383">
        <f>SUM(L336:L371)</f>
        <v>0</v>
      </c>
      <c r="M372" s="169"/>
      <c r="N372" s="199"/>
      <c r="O372" s="199"/>
    </row>
    <row r="373" spans="1:15" s="1" customFormat="1" ht="0.75" customHeight="1" thickTop="1">
      <c r="A373" s="226"/>
      <c r="C373" s="21"/>
      <c r="D373" s="44"/>
      <c r="E373" s="71"/>
      <c r="F373" s="44"/>
      <c r="G373" s="44"/>
      <c r="H373" s="38"/>
      <c r="I373" s="42"/>
      <c r="J373" s="42"/>
      <c r="K373" s="366"/>
      <c r="L373" s="520">
        <f>IF(E373=mva,G373-(G373/mva),"")</f>
      </c>
      <c r="M373" s="169"/>
      <c r="N373" s="199"/>
      <c r="O373" s="199"/>
    </row>
    <row r="374" spans="1:15" s="1" customFormat="1" ht="24.75" customHeight="1" thickTop="1">
      <c r="A374" s="228" t="s">
        <v>523</v>
      </c>
      <c r="B374" s="2"/>
      <c r="C374" s="21"/>
      <c r="D374" s="171" t="s">
        <v>422</v>
      </c>
      <c r="E374" s="172" t="s">
        <v>423</v>
      </c>
      <c r="F374" s="171" t="s">
        <v>424</v>
      </c>
      <c r="G374" s="171" t="s">
        <v>425</v>
      </c>
      <c r="H374" s="171" t="s">
        <v>426</v>
      </c>
      <c r="I374" s="173" t="s">
        <v>427</v>
      </c>
      <c r="J374" s="173"/>
      <c r="K374" s="366"/>
      <c r="L374" s="518" t="s">
        <v>688</v>
      </c>
      <c r="M374" s="169"/>
      <c r="N374" s="199"/>
      <c r="O374" s="199"/>
    </row>
    <row r="375" spans="1:15" s="1" customFormat="1" ht="12.75">
      <c r="A375" s="224">
        <v>351510</v>
      </c>
      <c r="B375" s="9" t="s">
        <v>109</v>
      </c>
      <c r="C375" s="20"/>
      <c r="D375" s="72"/>
      <c r="E375" s="72"/>
      <c r="F375" s="95"/>
      <c r="G375" s="377">
        <f aca="true" t="shared" si="36" ref="G375:G381">IF(X=0,(IF(Me=0,Sa,Me*Sa)),(IF(Me=0,Sa*X,Me*X*Sa)))</f>
        <v>0</v>
      </c>
      <c r="H375" s="375">
        <f aca="true" t="shared" si="37" ref="H375:H381">IF(Sum,Sos,0)</f>
        <v>0</v>
      </c>
      <c r="I375" s="376">
        <f aca="true" t="shared" si="38" ref="I375:I381">IF(Prosent&lt;&gt;0,(Sum*Prosent)/100,0)</f>
        <v>0</v>
      </c>
      <c r="J375" s="41"/>
      <c r="K375" s="367"/>
      <c r="L375" s="520">
        <f aca="true" t="shared" si="39" ref="L375:L401">IF(FMVA&lt;&gt;"",(Sum*mva)-Sum,"")</f>
      </c>
      <c r="M375" s="169"/>
      <c r="N375" s="199"/>
      <c r="O375" s="199"/>
    </row>
    <row r="376" spans="1:15" s="1" customFormat="1" ht="12.75">
      <c r="A376" s="224">
        <v>351511</v>
      </c>
      <c r="B376" s="12" t="s">
        <v>110</v>
      </c>
      <c r="C376" s="20"/>
      <c r="D376" s="55"/>
      <c r="E376" s="72"/>
      <c r="F376" s="381">
        <f>IF(D376=0,0,+G375)</f>
        <v>0</v>
      </c>
      <c r="G376" s="378">
        <f t="shared" si="36"/>
        <v>0</v>
      </c>
      <c r="H376" s="375">
        <f t="shared" si="37"/>
        <v>0</v>
      </c>
      <c r="I376" s="376">
        <f t="shared" si="38"/>
        <v>0</v>
      </c>
      <c r="J376" s="41"/>
      <c r="K376" s="367"/>
      <c r="L376" s="520">
        <f t="shared" si="39"/>
      </c>
      <c r="M376" s="169"/>
      <c r="N376" s="199"/>
      <c r="O376" s="199"/>
    </row>
    <row r="377" spans="1:15" s="1" customFormat="1" ht="12.75">
      <c r="A377" s="224">
        <v>351530</v>
      </c>
      <c r="B377" s="9" t="s">
        <v>111</v>
      </c>
      <c r="C377" s="20"/>
      <c r="D377" s="72"/>
      <c r="E377" s="72"/>
      <c r="F377" s="95"/>
      <c r="G377" s="378">
        <f t="shared" si="36"/>
        <v>0</v>
      </c>
      <c r="H377" s="375">
        <f t="shared" si="37"/>
        <v>0</v>
      </c>
      <c r="I377" s="376">
        <f t="shared" si="38"/>
        <v>0</v>
      </c>
      <c r="J377" s="41"/>
      <c r="K377" s="367"/>
      <c r="L377" s="520">
        <f t="shared" si="39"/>
      </c>
      <c r="M377" s="169"/>
      <c r="N377" s="199"/>
      <c r="O377" s="199"/>
    </row>
    <row r="378" spans="1:15" s="1" customFormat="1" ht="12.75">
      <c r="A378" s="224">
        <v>351531</v>
      </c>
      <c r="B378" s="9" t="s">
        <v>112</v>
      </c>
      <c r="C378" s="20"/>
      <c r="D378" s="55"/>
      <c r="E378" s="72"/>
      <c r="F378" s="381">
        <f>IF(D378=0,0,+G377)</f>
        <v>0</v>
      </c>
      <c r="G378" s="378">
        <f t="shared" si="36"/>
        <v>0</v>
      </c>
      <c r="H378" s="375">
        <f t="shared" si="37"/>
        <v>0</v>
      </c>
      <c r="I378" s="376">
        <f t="shared" si="38"/>
        <v>0</v>
      </c>
      <c r="J378" s="41"/>
      <c r="K378" s="367"/>
      <c r="L378" s="520">
        <f t="shared" si="39"/>
      </c>
      <c r="M378" s="169"/>
      <c r="N378" s="199"/>
      <c r="O378" s="199"/>
    </row>
    <row r="379" spans="1:15" s="1" customFormat="1" ht="12.75">
      <c r="A379" s="224">
        <v>351590</v>
      </c>
      <c r="B379" s="9" t="s">
        <v>113</v>
      </c>
      <c r="C379" s="20"/>
      <c r="D379" s="72"/>
      <c r="E379" s="72"/>
      <c r="F379" s="95"/>
      <c r="G379" s="378">
        <f t="shared" si="36"/>
        <v>0</v>
      </c>
      <c r="H379" s="375">
        <f t="shared" si="37"/>
        <v>0</v>
      </c>
      <c r="I379" s="376">
        <f t="shared" si="38"/>
        <v>0</v>
      </c>
      <c r="J379" s="41"/>
      <c r="K379" s="367"/>
      <c r="L379" s="520">
        <f t="shared" si="39"/>
      </c>
      <c r="M379" s="169"/>
      <c r="N379" s="199"/>
      <c r="O379" s="199"/>
    </row>
    <row r="380" spans="1:15" s="1" customFormat="1" ht="12.75">
      <c r="A380" s="224">
        <v>351591</v>
      </c>
      <c r="B380" s="9" t="s">
        <v>114</v>
      </c>
      <c r="C380" s="20"/>
      <c r="D380" s="40"/>
      <c r="E380" s="72"/>
      <c r="F380" s="381">
        <f>IF(D380=0,0,+G379)</f>
        <v>0</v>
      </c>
      <c r="G380" s="378">
        <f t="shared" si="36"/>
        <v>0</v>
      </c>
      <c r="H380" s="375">
        <f t="shared" si="37"/>
        <v>0</v>
      </c>
      <c r="I380" s="376">
        <f t="shared" si="38"/>
        <v>0</v>
      </c>
      <c r="J380" s="41"/>
      <c r="K380" s="367"/>
      <c r="L380" s="520">
        <f t="shared" si="39"/>
      </c>
      <c r="M380" s="169"/>
      <c r="N380" s="199"/>
      <c r="O380" s="199"/>
    </row>
    <row r="381" spans="1:15" s="1" customFormat="1" ht="12.75">
      <c r="A381" s="224">
        <v>354092</v>
      </c>
      <c r="B381" s="9" t="s">
        <v>590</v>
      </c>
      <c r="C381" s="20"/>
      <c r="D381" s="72"/>
      <c r="E381" s="72"/>
      <c r="F381" s="95"/>
      <c r="G381" s="378">
        <f t="shared" si="36"/>
        <v>0</v>
      </c>
      <c r="H381" s="375">
        <f t="shared" si="37"/>
        <v>0</v>
      </c>
      <c r="I381" s="376">
        <f t="shared" si="38"/>
        <v>0</v>
      </c>
      <c r="J381" s="41"/>
      <c r="K381" s="367"/>
      <c r="L381" s="520">
        <f t="shared" si="39"/>
      </c>
      <c r="M381" s="169"/>
      <c r="N381" s="199"/>
      <c r="O381" s="199"/>
    </row>
    <row r="382" spans="1:15" s="1" customFormat="1" ht="12.75">
      <c r="A382" s="224">
        <v>354095</v>
      </c>
      <c r="B382" s="9" t="s">
        <v>554</v>
      </c>
      <c r="C382" s="20"/>
      <c r="D382" s="73"/>
      <c r="E382" s="73"/>
      <c r="F382" s="94"/>
      <c r="G382" s="384">
        <f>SUM(I375:I381)</f>
        <v>0</v>
      </c>
      <c r="H382" s="38"/>
      <c r="I382" s="39" t="s">
        <v>555</v>
      </c>
      <c r="J382" s="39"/>
      <c r="K382" s="572"/>
      <c r="L382" s="520"/>
      <c r="M382" s="169"/>
      <c r="N382" s="199"/>
      <c r="O382" s="199"/>
    </row>
    <row r="383" spans="1:15" s="1" customFormat="1" ht="12.75">
      <c r="A383" s="224">
        <v>356520</v>
      </c>
      <c r="B383" s="12" t="s">
        <v>115</v>
      </c>
      <c r="C383" s="20"/>
      <c r="D383" s="72"/>
      <c r="E383" s="72"/>
      <c r="F383" s="95"/>
      <c r="G383" s="378">
        <f aca="true" t="shared" si="40" ref="G383:G401">IF(X=0,(IF(Me=0,Sa,Me*Sa)),(IF(Me=0,Sa*X,Me*X*Sa)))</f>
        <v>0</v>
      </c>
      <c r="H383" s="44"/>
      <c r="I383" s="44"/>
      <c r="J383" s="44"/>
      <c r="K383" s="367"/>
      <c r="L383" s="520">
        <f t="shared" si="39"/>
      </c>
      <c r="M383" s="169"/>
      <c r="N383" s="199"/>
      <c r="O383" s="199"/>
    </row>
    <row r="384" spans="1:15" s="1" customFormat="1" ht="12.75">
      <c r="A384" s="224">
        <v>356530</v>
      </c>
      <c r="B384" s="9" t="s">
        <v>116</v>
      </c>
      <c r="C384" s="20"/>
      <c r="D384" s="72"/>
      <c r="E384" s="72"/>
      <c r="F384" s="95"/>
      <c r="G384" s="378">
        <f t="shared" si="40"/>
        <v>0</v>
      </c>
      <c r="H384" s="44"/>
      <c r="I384" s="44"/>
      <c r="J384" s="44"/>
      <c r="K384" s="367"/>
      <c r="L384" s="520">
        <f t="shared" si="39"/>
      </c>
      <c r="M384" s="169"/>
      <c r="N384" s="199"/>
      <c r="O384" s="199"/>
    </row>
    <row r="385" spans="1:15" s="1" customFormat="1" ht="12.75">
      <c r="A385" s="224">
        <v>356532</v>
      </c>
      <c r="B385" s="12" t="s">
        <v>117</v>
      </c>
      <c r="C385" s="20"/>
      <c r="D385" s="72"/>
      <c r="E385" s="72"/>
      <c r="F385" s="95"/>
      <c r="G385" s="378">
        <f t="shared" si="40"/>
        <v>0</v>
      </c>
      <c r="H385" s="44"/>
      <c r="I385" s="44"/>
      <c r="J385" s="44"/>
      <c r="K385" s="367"/>
      <c r="L385" s="520">
        <f t="shared" si="39"/>
      </c>
      <c r="M385" s="169"/>
      <c r="N385" s="199"/>
      <c r="O385" s="199"/>
    </row>
    <row r="386" spans="1:15" s="1" customFormat="1" ht="12.75">
      <c r="A386" s="224">
        <v>356534</v>
      </c>
      <c r="B386" s="9" t="s">
        <v>118</v>
      </c>
      <c r="C386" s="20"/>
      <c r="D386" s="72"/>
      <c r="E386" s="72"/>
      <c r="F386" s="95"/>
      <c r="G386" s="378">
        <f t="shared" si="40"/>
        <v>0</v>
      </c>
      <c r="H386" s="44"/>
      <c r="I386" s="44"/>
      <c r="J386" s="44"/>
      <c r="K386" s="367"/>
      <c r="L386" s="520">
        <f t="shared" si="39"/>
      </c>
      <c r="M386" s="169"/>
      <c r="N386" s="199"/>
      <c r="O386" s="199"/>
    </row>
    <row r="387" spans="1:15" s="1" customFormat="1" ht="12.75">
      <c r="A387" s="224">
        <v>356540</v>
      </c>
      <c r="B387" s="9" t="s">
        <v>119</v>
      </c>
      <c r="C387" s="20"/>
      <c r="D387" s="72"/>
      <c r="E387" s="72"/>
      <c r="F387" s="95"/>
      <c r="G387" s="378">
        <f t="shared" si="40"/>
        <v>0</v>
      </c>
      <c r="H387" s="44"/>
      <c r="I387" s="44"/>
      <c r="J387" s="44"/>
      <c r="K387" s="367"/>
      <c r="L387" s="520">
        <f t="shared" si="39"/>
      </c>
      <c r="M387" s="169"/>
      <c r="N387" s="199"/>
      <c r="O387" s="199"/>
    </row>
    <row r="388" spans="1:15" s="1" customFormat="1" ht="12.75">
      <c r="A388" s="224">
        <v>356542</v>
      </c>
      <c r="B388" s="9" t="s">
        <v>120</v>
      </c>
      <c r="C388" s="20"/>
      <c r="D388" s="72"/>
      <c r="E388" s="72"/>
      <c r="F388" s="95"/>
      <c r="G388" s="378">
        <f t="shared" si="40"/>
        <v>0</v>
      </c>
      <c r="H388" s="44"/>
      <c r="I388" s="44"/>
      <c r="J388" s="44"/>
      <c r="K388" s="367"/>
      <c r="L388" s="520">
        <f t="shared" si="39"/>
      </c>
      <c r="M388" s="169"/>
      <c r="N388" s="199"/>
      <c r="O388" s="199"/>
    </row>
    <row r="389" spans="1:15" s="1" customFormat="1" ht="12.75">
      <c r="A389" s="224">
        <v>356543</v>
      </c>
      <c r="B389" s="9" t="s">
        <v>121</v>
      </c>
      <c r="C389" s="20"/>
      <c r="D389" s="72"/>
      <c r="E389" s="72"/>
      <c r="F389" s="95"/>
      <c r="G389" s="378">
        <f t="shared" si="40"/>
        <v>0</v>
      </c>
      <c r="H389" s="44"/>
      <c r="I389" s="44"/>
      <c r="J389" s="44"/>
      <c r="K389" s="367"/>
      <c r="L389" s="520">
        <f t="shared" si="39"/>
      </c>
      <c r="M389" s="169"/>
      <c r="N389" s="199"/>
      <c r="O389" s="199"/>
    </row>
    <row r="390" spans="1:15" s="1" customFormat="1" ht="12.75">
      <c r="A390" s="224">
        <v>356545</v>
      </c>
      <c r="B390" s="9" t="s">
        <v>122</v>
      </c>
      <c r="C390" s="20"/>
      <c r="D390" s="72"/>
      <c r="E390" s="72"/>
      <c r="F390" s="95"/>
      <c r="G390" s="378">
        <f t="shared" si="40"/>
        <v>0</v>
      </c>
      <c r="H390" s="44"/>
      <c r="I390" s="44"/>
      <c r="J390" s="44"/>
      <c r="K390" s="367"/>
      <c r="L390" s="520">
        <f t="shared" si="39"/>
      </c>
      <c r="M390" s="169"/>
      <c r="N390" s="199"/>
      <c r="O390" s="199"/>
    </row>
    <row r="391" spans="1:15" s="1" customFormat="1" ht="12.75">
      <c r="A391" s="224">
        <v>356550</v>
      </c>
      <c r="B391" s="9" t="s">
        <v>123</v>
      </c>
      <c r="C391" s="20"/>
      <c r="D391" s="72"/>
      <c r="E391" s="72"/>
      <c r="F391" s="95"/>
      <c r="G391" s="378">
        <f t="shared" si="40"/>
        <v>0</v>
      </c>
      <c r="H391" s="38"/>
      <c r="I391" s="41"/>
      <c r="J391" s="41"/>
      <c r="K391" s="367"/>
      <c r="L391" s="520">
        <f t="shared" si="39"/>
      </c>
      <c r="M391" s="169"/>
      <c r="N391" s="199"/>
      <c r="O391" s="199"/>
    </row>
    <row r="392" spans="1:15" s="1" customFormat="1" ht="12.75">
      <c r="A392" s="224">
        <v>356560</v>
      </c>
      <c r="B392" s="9" t="s">
        <v>124</v>
      </c>
      <c r="C392" s="20"/>
      <c r="D392" s="72"/>
      <c r="E392" s="72"/>
      <c r="F392" s="95"/>
      <c r="G392" s="378">
        <f t="shared" si="40"/>
        <v>0</v>
      </c>
      <c r="H392" s="38"/>
      <c r="I392" s="41"/>
      <c r="J392" s="41"/>
      <c r="K392" s="367"/>
      <c r="L392" s="520">
        <f t="shared" si="39"/>
      </c>
      <c r="M392" s="169"/>
      <c r="N392" s="199"/>
      <c r="O392" s="199"/>
    </row>
    <row r="393" spans="1:15" s="1" customFormat="1" ht="12.75">
      <c r="A393" s="224">
        <v>359010</v>
      </c>
      <c r="B393" s="9" t="s">
        <v>556</v>
      </c>
      <c r="C393" s="20"/>
      <c r="D393" s="72"/>
      <c r="E393" s="72"/>
      <c r="F393" s="95"/>
      <c r="G393" s="378">
        <f t="shared" si="40"/>
        <v>0</v>
      </c>
      <c r="H393" s="38"/>
      <c r="I393" s="41"/>
      <c r="J393" s="41"/>
      <c r="K393" s="367"/>
      <c r="L393" s="520">
        <f t="shared" si="39"/>
      </c>
      <c r="M393" s="169"/>
      <c r="N393" s="199"/>
      <c r="O393" s="199"/>
    </row>
    <row r="394" spans="1:15" s="1" customFormat="1" ht="12.75">
      <c r="A394" s="224">
        <v>359011</v>
      </c>
      <c r="B394" s="9" t="s">
        <v>11</v>
      </c>
      <c r="C394" s="20"/>
      <c r="D394" s="72"/>
      <c r="E394" s="72"/>
      <c r="F394" s="95"/>
      <c r="G394" s="378">
        <f t="shared" si="40"/>
        <v>0</v>
      </c>
      <c r="H394" s="38"/>
      <c r="I394" s="41"/>
      <c r="J394" s="41"/>
      <c r="K394" s="367"/>
      <c r="L394" s="520">
        <f t="shared" si="39"/>
      </c>
      <c r="M394" s="169"/>
      <c r="N394" s="199"/>
      <c r="O394" s="199"/>
    </row>
    <row r="395" spans="1:15" s="1" customFormat="1" ht="12.75">
      <c r="A395" s="224">
        <v>359027</v>
      </c>
      <c r="B395" s="9" t="s">
        <v>15</v>
      </c>
      <c r="C395" s="20"/>
      <c r="D395" s="72"/>
      <c r="E395" s="72"/>
      <c r="F395" s="95"/>
      <c r="G395" s="378">
        <f t="shared" si="40"/>
        <v>0</v>
      </c>
      <c r="H395" s="38"/>
      <c r="I395" s="41"/>
      <c r="J395" s="41"/>
      <c r="K395" s="367"/>
      <c r="L395" s="520">
        <f t="shared" si="39"/>
      </c>
      <c r="M395" s="169"/>
      <c r="N395" s="199"/>
      <c r="O395" s="199"/>
    </row>
    <row r="396" spans="1:15" s="1" customFormat="1" ht="12.75">
      <c r="A396" s="224">
        <v>359050</v>
      </c>
      <c r="B396" s="9" t="s">
        <v>17</v>
      </c>
      <c r="C396" s="20"/>
      <c r="D396" s="72"/>
      <c r="E396" s="72"/>
      <c r="F396" s="95"/>
      <c r="G396" s="378">
        <f t="shared" si="40"/>
        <v>0</v>
      </c>
      <c r="H396" s="38"/>
      <c r="I396" s="41"/>
      <c r="J396" s="41"/>
      <c r="K396" s="367"/>
      <c r="L396" s="520">
        <f t="shared" si="39"/>
      </c>
      <c r="M396" s="169"/>
      <c r="N396" s="199"/>
      <c r="O396" s="199"/>
    </row>
    <row r="397" spans="1:15" s="1" customFormat="1" ht="12.75">
      <c r="A397" s="224">
        <v>359052</v>
      </c>
      <c r="B397" s="9" t="s">
        <v>85</v>
      </c>
      <c r="C397" s="20"/>
      <c r="D397" s="72"/>
      <c r="E397" s="72"/>
      <c r="F397" s="95"/>
      <c r="G397" s="378">
        <f t="shared" si="40"/>
        <v>0</v>
      </c>
      <c r="H397" s="38"/>
      <c r="I397" s="41"/>
      <c r="J397" s="41"/>
      <c r="K397" s="367"/>
      <c r="L397" s="520">
        <f t="shared" si="39"/>
      </c>
      <c r="M397" s="169"/>
      <c r="N397" s="199"/>
      <c r="O397" s="199"/>
    </row>
    <row r="398" spans="1:15" s="1" customFormat="1" ht="12.75">
      <c r="A398" s="224">
        <v>359053</v>
      </c>
      <c r="B398" s="9" t="s">
        <v>86</v>
      </c>
      <c r="C398" s="20"/>
      <c r="D398" s="72"/>
      <c r="E398" s="72"/>
      <c r="F398" s="95"/>
      <c r="G398" s="378">
        <f t="shared" si="40"/>
        <v>0</v>
      </c>
      <c r="H398" s="38"/>
      <c r="I398" s="41"/>
      <c r="J398" s="41"/>
      <c r="K398" s="367"/>
      <c r="L398" s="520">
        <f t="shared" si="39"/>
      </c>
      <c r="M398" s="169"/>
      <c r="N398" s="199"/>
      <c r="O398" s="199"/>
    </row>
    <row r="399" spans="1:15" s="1" customFormat="1" ht="12.75">
      <c r="A399" s="224">
        <v>359054</v>
      </c>
      <c r="B399" s="9" t="s">
        <v>87</v>
      </c>
      <c r="C399" s="20"/>
      <c r="D399" s="72"/>
      <c r="E399" s="72"/>
      <c r="F399" s="95"/>
      <c r="G399" s="378">
        <f t="shared" si="40"/>
        <v>0</v>
      </c>
      <c r="H399" s="38"/>
      <c r="I399" s="41"/>
      <c r="J399" s="41"/>
      <c r="K399" s="367"/>
      <c r="L399" s="520">
        <f t="shared" si="39"/>
      </c>
      <c r="M399" s="169"/>
      <c r="N399" s="199"/>
      <c r="O399" s="199"/>
    </row>
    <row r="400" spans="1:15" s="1" customFormat="1" ht="12.75">
      <c r="A400" s="224">
        <v>359064</v>
      </c>
      <c r="B400" s="9" t="s">
        <v>21</v>
      </c>
      <c r="C400" s="20"/>
      <c r="D400" s="72"/>
      <c r="E400" s="72"/>
      <c r="F400" s="95"/>
      <c r="G400" s="378">
        <f t="shared" si="40"/>
        <v>0</v>
      </c>
      <c r="H400" s="38"/>
      <c r="I400" s="41"/>
      <c r="J400" s="41"/>
      <c r="K400" s="367"/>
      <c r="L400" s="520">
        <f t="shared" si="39"/>
      </c>
      <c r="M400" s="169"/>
      <c r="N400" s="199"/>
      <c r="O400" s="199"/>
    </row>
    <row r="401" spans="1:15" s="1" customFormat="1" ht="12.75">
      <c r="A401" s="224">
        <v>359069</v>
      </c>
      <c r="B401" s="218" t="s">
        <v>564</v>
      </c>
      <c r="C401" s="219" t="s">
        <v>416</v>
      </c>
      <c r="D401" s="220"/>
      <c r="E401" s="220"/>
      <c r="F401" s="221"/>
      <c r="G401" s="379">
        <f t="shared" si="40"/>
        <v>0</v>
      </c>
      <c r="H401" s="38"/>
      <c r="I401" s="41"/>
      <c r="J401" s="41"/>
      <c r="K401" s="367"/>
      <c r="L401" s="520">
        <f t="shared" si="39"/>
      </c>
      <c r="M401" s="169"/>
      <c r="N401" s="199"/>
      <c r="O401" s="199"/>
    </row>
    <row r="402" spans="1:15" s="1" customFormat="1" ht="13.5" thickBot="1">
      <c r="A402" s="231" t="s">
        <v>401</v>
      </c>
      <c r="B402" s="6"/>
      <c r="C402" s="22"/>
      <c r="D402" s="44"/>
      <c r="E402" s="71"/>
      <c r="F402" s="90" t="s">
        <v>570</v>
      </c>
      <c r="G402" s="383">
        <f>SUM(G375:G401)</f>
        <v>0</v>
      </c>
      <c r="H402" s="38"/>
      <c r="I402" s="44"/>
      <c r="J402" s="44"/>
      <c r="K402" s="366"/>
      <c r="L402" s="383">
        <f>SUM(L375:L401)</f>
        <v>0</v>
      </c>
      <c r="M402" s="169"/>
      <c r="N402" s="199"/>
      <c r="O402" s="199"/>
    </row>
    <row r="403" spans="1:15" s="1" customFormat="1" ht="0.75" customHeight="1" thickTop="1">
      <c r="A403" s="226"/>
      <c r="C403" s="21"/>
      <c r="D403" s="44"/>
      <c r="E403" s="71"/>
      <c r="F403" s="90"/>
      <c r="G403" s="41"/>
      <c r="H403" s="38"/>
      <c r="I403" s="41"/>
      <c r="J403" s="41"/>
      <c r="K403" s="366"/>
      <c r="L403" s="516"/>
      <c r="M403" s="169"/>
      <c r="N403" s="199"/>
      <c r="O403" s="199"/>
    </row>
    <row r="404" spans="1:15" s="1" customFormat="1" ht="24.75" customHeight="1" thickTop="1">
      <c r="A404" s="228" t="s">
        <v>524</v>
      </c>
      <c r="B404" s="2"/>
      <c r="C404" s="21"/>
      <c r="D404" s="171" t="s">
        <v>422</v>
      </c>
      <c r="E404" s="172" t="s">
        <v>423</v>
      </c>
      <c r="F404" s="171" t="s">
        <v>424</v>
      </c>
      <c r="G404" s="171" t="s">
        <v>425</v>
      </c>
      <c r="H404" s="171" t="s">
        <v>426</v>
      </c>
      <c r="I404" s="173" t="s">
        <v>427</v>
      </c>
      <c r="J404" s="173"/>
      <c r="K404" s="366"/>
      <c r="L404" s="518" t="s">
        <v>688</v>
      </c>
      <c r="M404" s="169"/>
      <c r="N404" s="199"/>
      <c r="O404" s="199"/>
    </row>
    <row r="405" spans="1:15" s="1" customFormat="1" ht="12.75">
      <c r="A405" s="224">
        <v>361610</v>
      </c>
      <c r="B405" s="9" t="s">
        <v>581</v>
      </c>
      <c r="C405" s="20"/>
      <c r="D405" s="72"/>
      <c r="E405" s="72"/>
      <c r="F405" s="95"/>
      <c r="G405" s="377">
        <f aca="true" t="shared" si="41" ref="G405:G417">IF(X=0,(IF(Me=0,Sa,Me*Sa)),(IF(Me=0,Sa*X,Me*X*Sa)))</f>
        <v>0</v>
      </c>
      <c r="H405" s="375">
        <f aca="true" t="shared" si="42" ref="H405:H417">IF(Sum,Sos,0)</f>
        <v>0</v>
      </c>
      <c r="I405" s="376">
        <f aca="true" t="shared" si="43" ref="I405:I417">IF(Prosent&lt;&gt;0,(Sum*Prosent)/100,0)</f>
        <v>0</v>
      </c>
      <c r="J405" s="41"/>
      <c r="K405" s="367"/>
      <c r="L405" s="520">
        <f aca="true" t="shared" si="44" ref="L405:L434">IF(FMVA&lt;&gt;"",(Sum*mva)-Sum,"")</f>
      </c>
      <c r="M405" s="169"/>
      <c r="N405" s="199"/>
      <c r="O405" s="199"/>
    </row>
    <row r="406" spans="1:15" s="1" customFormat="1" ht="12.75">
      <c r="A406" s="224">
        <v>361611</v>
      </c>
      <c r="B406" s="12" t="s">
        <v>583</v>
      </c>
      <c r="C406" s="20"/>
      <c r="D406" s="55"/>
      <c r="E406" s="72"/>
      <c r="F406" s="381">
        <f>IF(D406=0,0,+G405)</f>
        <v>0</v>
      </c>
      <c r="G406" s="378">
        <f t="shared" si="41"/>
        <v>0</v>
      </c>
      <c r="H406" s="375">
        <f t="shared" si="42"/>
        <v>0</v>
      </c>
      <c r="I406" s="376">
        <f t="shared" si="43"/>
        <v>0</v>
      </c>
      <c r="J406" s="41"/>
      <c r="K406" s="367"/>
      <c r="L406" s="520">
        <f t="shared" si="44"/>
      </c>
      <c r="M406" s="169"/>
      <c r="N406" s="199"/>
      <c r="O406" s="199"/>
    </row>
    <row r="407" spans="1:15" s="1" customFormat="1" ht="12.75">
      <c r="A407" s="224">
        <v>361612</v>
      </c>
      <c r="B407" s="9" t="s">
        <v>125</v>
      </c>
      <c r="C407" s="20"/>
      <c r="D407" s="72"/>
      <c r="E407" s="72"/>
      <c r="F407" s="95"/>
      <c r="G407" s="378">
        <f t="shared" si="41"/>
        <v>0</v>
      </c>
      <c r="H407" s="375">
        <f t="shared" si="42"/>
        <v>0</v>
      </c>
      <c r="I407" s="376">
        <f t="shared" si="43"/>
        <v>0</v>
      </c>
      <c r="J407" s="41"/>
      <c r="K407" s="367"/>
      <c r="L407" s="520">
        <f t="shared" si="44"/>
      </c>
      <c r="M407" s="169"/>
      <c r="N407" s="199"/>
      <c r="O407" s="199"/>
    </row>
    <row r="408" spans="1:15" s="1" customFormat="1" ht="12.75">
      <c r="A408" s="224">
        <v>361613</v>
      </c>
      <c r="B408" s="12" t="s">
        <v>126</v>
      </c>
      <c r="C408" s="20"/>
      <c r="D408" s="55"/>
      <c r="E408" s="72"/>
      <c r="F408" s="381">
        <f>IF(D408=0,0,+G407)</f>
        <v>0</v>
      </c>
      <c r="G408" s="378">
        <f t="shared" si="41"/>
        <v>0</v>
      </c>
      <c r="H408" s="375">
        <f t="shared" si="42"/>
        <v>0</v>
      </c>
      <c r="I408" s="376">
        <f t="shared" si="43"/>
        <v>0</v>
      </c>
      <c r="J408" s="41"/>
      <c r="K408" s="367"/>
      <c r="L408" s="520">
        <f t="shared" si="44"/>
      </c>
      <c r="M408" s="169"/>
      <c r="N408" s="199"/>
      <c r="O408" s="199"/>
    </row>
    <row r="409" spans="1:15" s="1" customFormat="1" ht="12.75">
      <c r="A409" s="224">
        <v>361614</v>
      </c>
      <c r="B409" s="9" t="s">
        <v>739</v>
      </c>
      <c r="C409" s="20"/>
      <c r="D409" s="72"/>
      <c r="E409" s="72"/>
      <c r="F409" s="95"/>
      <c r="G409" s="378">
        <f t="shared" si="41"/>
        <v>0</v>
      </c>
      <c r="H409" s="375">
        <f t="shared" si="42"/>
        <v>0</v>
      </c>
      <c r="I409" s="376">
        <f t="shared" si="43"/>
        <v>0</v>
      </c>
      <c r="J409" s="41"/>
      <c r="K409" s="367"/>
      <c r="L409" s="520">
        <f t="shared" si="44"/>
      </c>
      <c r="M409" s="169"/>
      <c r="N409" s="199"/>
      <c r="O409" s="199"/>
    </row>
    <row r="410" spans="1:15" s="1" customFormat="1" ht="12.75">
      <c r="A410" s="224">
        <v>361615</v>
      </c>
      <c r="B410" s="12" t="s">
        <v>740</v>
      </c>
      <c r="C410" s="20"/>
      <c r="D410" s="55"/>
      <c r="E410" s="72"/>
      <c r="F410" s="381">
        <f>IF(D410=0,0,+G409)</f>
        <v>0</v>
      </c>
      <c r="G410" s="378">
        <f t="shared" si="41"/>
        <v>0</v>
      </c>
      <c r="H410" s="375">
        <f t="shared" si="42"/>
        <v>0</v>
      </c>
      <c r="I410" s="376">
        <f t="shared" si="43"/>
        <v>0</v>
      </c>
      <c r="J410" s="41"/>
      <c r="K410" s="367"/>
      <c r="L410" s="520">
        <f t="shared" si="44"/>
      </c>
      <c r="M410" s="169"/>
      <c r="N410" s="199"/>
      <c r="O410" s="199"/>
    </row>
    <row r="411" spans="1:15" s="1" customFormat="1" ht="12.75">
      <c r="A411" s="224">
        <v>361620</v>
      </c>
      <c r="B411" s="9" t="s">
        <v>127</v>
      </c>
      <c r="C411" s="20"/>
      <c r="D411" s="72"/>
      <c r="E411" s="72"/>
      <c r="F411" s="95"/>
      <c r="G411" s="378">
        <f t="shared" si="41"/>
        <v>0</v>
      </c>
      <c r="H411" s="375">
        <f t="shared" si="42"/>
        <v>0</v>
      </c>
      <c r="I411" s="376">
        <f t="shared" si="43"/>
        <v>0</v>
      </c>
      <c r="J411" s="41"/>
      <c r="K411" s="367"/>
      <c r="L411" s="520">
        <f t="shared" si="44"/>
      </c>
      <c r="M411" s="169"/>
      <c r="N411" s="199"/>
      <c r="O411" s="199"/>
    </row>
    <row r="412" spans="1:15" s="1" customFormat="1" ht="12.75">
      <c r="A412" s="224">
        <v>361621</v>
      </c>
      <c r="B412" s="12" t="s">
        <v>128</v>
      </c>
      <c r="C412" s="20"/>
      <c r="D412" s="55"/>
      <c r="E412" s="72"/>
      <c r="F412" s="381">
        <f>IF(D412=0,0,+G411)</f>
        <v>0</v>
      </c>
      <c r="G412" s="378">
        <f t="shared" si="41"/>
        <v>0</v>
      </c>
      <c r="H412" s="375">
        <f t="shared" si="42"/>
        <v>0</v>
      </c>
      <c r="I412" s="376">
        <f t="shared" si="43"/>
        <v>0</v>
      </c>
      <c r="J412" s="41"/>
      <c r="K412" s="367"/>
      <c r="L412" s="520">
        <f t="shared" si="44"/>
      </c>
      <c r="M412" s="169"/>
      <c r="N412" s="199"/>
      <c r="O412" s="199"/>
    </row>
    <row r="413" spans="1:15" s="1" customFormat="1" ht="12.75">
      <c r="A413" s="224">
        <v>361630</v>
      </c>
      <c r="B413" s="9" t="s">
        <v>129</v>
      </c>
      <c r="C413" s="20"/>
      <c r="D413" s="72"/>
      <c r="E413" s="72"/>
      <c r="F413" s="95"/>
      <c r="G413" s="378">
        <f t="shared" si="41"/>
        <v>0</v>
      </c>
      <c r="H413" s="375">
        <f t="shared" si="42"/>
        <v>0</v>
      </c>
      <c r="I413" s="376">
        <f t="shared" si="43"/>
        <v>0</v>
      </c>
      <c r="J413" s="41"/>
      <c r="K413" s="367"/>
      <c r="L413" s="520">
        <f t="shared" si="44"/>
      </c>
      <c r="M413" s="169"/>
      <c r="N413" s="199"/>
      <c r="O413" s="199"/>
    </row>
    <row r="414" spans="1:15" s="1" customFormat="1" ht="12.75">
      <c r="A414" s="224">
        <v>361631</v>
      </c>
      <c r="B414" s="12" t="s">
        <v>130</v>
      </c>
      <c r="C414" s="20"/>
      <c r="D414" s="55"/>
      <c r="E414" s="72"/>
      <c r="F414" s="381">
        <f>IF(D414=0,0,+G413)</f>
        <v>0</v>
      </c>
      <c r="G414" s="378">
        <f t="shared" si="41"/>
        <v>0</v>
      </c>
      <c r="H414" s="375">
        <f t="shared" si="42"/>
        <v>0</v>
      </c>
      <c r="I414" s="376">
        <f t="shared" si="43"/>
        <v>0</v>
      </c>
      <c r="J414" s="41"/>
      <c r="K414" s="367"/>
      <c r="L414" s="520">
        <f t="shared" si="44"/>
      </c>
      <c r="M414" s="169"/>
      <c r="N414" s="199"/>
      <c r="O414" s="199"/>
    </row>
    <row r="415" spans="1:15" s="1" customFormat="1" ht="12.75">
      <c r="A415" s="224">
        <v>361690</v>
      </c>
      <c r="B415" s="9" t="s">
        <v>131</v>
      </c>
      <c r="C415" s="20"/>
      <c r="D415" s="72"/>
      <c r="E415" s="72"/>
      <c r="F415" s="95"/>
      <c r="G415" s="378">
        <f t="shared" si="41"/>
        <v>0</v>
      </c>
      <c r="H415" s="375">
        <f t="shared" si="42"/>
        <v>0</v>
      </c>
      <c r="I415" s="376">
        <f t="shared" si="43"/>
        <v>0</v>
      </c>
      <c r="J415" s="41"/>
      <c r="K415" s="367"/>
      <c r="L415" s="520">
        <f t="shared" si="44"/>
      </c>
      <c r="M415" s="169"/>
      <c r="N415" s="199"/>
      <c r="O415" s="199"/>
    </row>
    <row r="416" spans="1:15" s="1" customFormat="1" ht="12.75">
      <c r="A416" s="224">
        <v>361691</v>
      </c>
      <c r="B416" s="9" t="s">
        <v>132</v>
      </c>
      <c r="C416" s="20"/>
      <c r="D416" s="55"/>
      <c r="E416" s="72"/>
      <c r="F416" s="381">
        <f>IF(D416=0,0,+G415)</f>
        <v>0</v>
      </c>
      <c r="G416" s="378">
        <f t="shared" si="41"/>
        <v>0</v>
      </c>
      <c r="H416" s="375">
        <f t="shared" si="42"/>
        <v>0</v>
      </c>
      <c r="I416" s="376">
        <f t="shared" si="43"/>
        <v>0</v>
      </c>
      <c r="J416" s="41"/>
      <c r="K416" s="367"/>
      <c r="L416" s="520">
        <f t="shared" si="44"/>
      </c>
      <c r="M416" s="169"/>
      <c r="N416" s="199"/>
      <c r="O416" s="199"/>
    </row>
    <row r="417" spans="1:15" s="1" customFormat="1" ht="12.75">
      <c r="A417" s="224">
        <v>364092</v>
      </c>
      <c r="B417" s="9" t="s">
        <v>590</v>
      </c>
      <c r="C417" s="20"/>
      <c r="D417" s="72"/>
      <c r="E417" s="72"/>
      <c r="F417" s="95"/>
      <c r="G417" s="378">
        <f t="shared" si="41"/>
        <v>0</v>
      </c>
      <c r="H417" s="375">
        <f t="shared" si="42"/>
        <v>0</v>
      </c>
      <c r="I417" s="376">
        <f t="shared" si="43"/>
        <v>0</v>
      </c>
      <c r="J417" s="41"/>
      <c r="K417" s="367"/>
      <c r="L417" s="520">
        <f t="shared" si="44"/>
      </c>
      <c r="M417" s="169"/>
      <c r="N417" s="199"/>
      <c r="O417" s="199"/>
    </row>
    <row r="418" spans="1:15" s="1" customFormat="1" ht="12.75">
      <c r="A418" s="224">
        <v>364095</v>
      </c>
      <c r="B418" s="12" t="s">
        <v>554</v>
      </c>
      <c r="C418" s="20"/>
      <c r="D418" s="73"/>
      <c r="E418" s="73"/>
      <c r="F418" s="98"/>
      <c r="G418" s="384">
        <f>SUM(I405:I417)</f>
        <v>0</v>
      </c>
      <c r="H418" s="38"/>
      <c r="I418" s="39" t="s">
        <v>555</v>
      </c>
      <c r="J418" s="39"/>
      <c r="K418" s="572"/>
      <c r="L418" s="520"/>
      <c r="M418" s="169"/>
      <c r="N418" s="199"/>
      <c r="O418" s="199"/>
    </row>
    <row r="419" spans="1:15" s="1" customFormat="1" ht="12.75">
      <c r="A419" s="224">
        <v>366620</v>
      </c>
      <c r="B419" s="9" t="s">
        <v>133</v>
      </c>
      <c r="C419" s="20"/>
      <c r="D419" s="72"/>
      <c r="E419" s="72"/>
      <c r="F419" s="95"/>
      <c r="G419" s="378">
        <f aca="true" t="shared" si="45" ref="G419:G434">IF(X=0,(IF(Me=0,Sa,Me*Sa)),(IF(Me=0,Sa*X,Me*X*Sa)))</f>
        <v>0</v>
      </c>
      <c r="H419" s="44"/>
      <c r="I419" s="44"/>
      <c r="J419" s="44"/>
      <c r="K419" s="367"/>
      <c r="L419" s="520">
        <f t="shared" si="44"/>
      </c>
      <c r="M419" s="169"/>
      <c r="N419" s="199"/>
      <c r="O419" s="199"/>
    </row>
    <row r="420" spans="1:15" s="1" customFormat="1" ht="12.75">
      <c r="A420" s="224">
        <v>366630</v>
      </c>
      <c r="B420" s="9" t="s">
        <v>134</v>
      </c>
      <c r="C420" s="20"/>
      <c r="D420" s="72"/>
      <c r="E420" s="72"/>
      <c r="F420" s="95"/>
      <c r="G420" s="378">
        <f t="shared" si="45"/>
        <v>0</v>
      </c>
      <c r="H420" s="44"/>
      <c r="I420" s="44"/>
      <c r="J420" s="44"/>
      <c r="K420" s="367"/>
      <c r="L420" s="520">
        <f t="shared" si="44"/>
      </c>
      <c r="M420" s="169"/>
      <c r="N420" s="199"/>
      <c r="O420" s="199"/>
    </row>
    <row r="421" spans="1:15" s="1" customFormat="1" ht="12.75">
      <c r="A421" s="224">
        <v>366640</v>
      </c>
      <c r="B421" s="9" t="s">
        <v>135</v>
      </c>
      <c r="C421" s="20"/>
      <c r="D421" s="72"/>
      <c r="E421" s="72"/>
      <c r="F421" s="95"/>
      <c r="G421" s="378">
        <f t="shared" si="45"/>
        <v>0</v>
      </c>
      <c r="H421" s="44"/>
      <c r="I421" s="44"/>
      <c r="J421" s="44"/>
      <c r="K421" s="367"/>
      <c r="L421" s="520">
        <f t="shared" si="44"/>
      </c>
      <c r="M421" s="169"/>
      <c r="N421" s="199"/>
      <c r="O421" s="199"/>
    </row>
    <row r="422" spans="1:15" s="1" customFormat="1" ht="12.75">
      <c r="A422" s="224">
        <v>366650</v>
      </c>
      <c r="B422" s="9" t="s">
        <v>136</v>
      </c>
      <c r="C422" s="20"/>
      <c r="D422" s="72"/>
      <c r="E422" s="72"/>
      <c r="F422" s="95"/>
      <c r="G422" s="378">
        <f t="shared" si="45"/>
        <v>0</v>
      </c>
      <c r="H422" s="38"/>
      <c r="I422" s="41"/>
      <c r="J422" s="41"/>
      <c r="K422" s="367"/>
      <c r="L422" s="520">
        <f t="shared" si="44"/>
      </c>
      <c r="M422" s="169"/>
      <c r="N422" s="199"/>
      <c r="O422" s="199"/>
    </row>
    <row r="423" spans="1:15" s="1" customFormat="1" ht="12.75">
      <c r="A423" s="224">
        <v>366660</v>
      </c>
      <c r="B423" s="9" t="s">
        <v>137</v>
      </c>
      <c r="C423" s="20"/>
      <c r="D423" s="72"/>
      <c r="E423" s="72"/>
      <c r="F423" s="95"/>
      <c r="G423" s="378">
        <f t="shared" si="45"/>
        <v>0</v>
      </c>
      <c r="H423" s="38"/>
      <c r="I423" s="41"/>
      <c r="J423" s="41"/>
      <c r="K423" s="367"/>
      <c r="L423" s="520">
        <f t="shared" si="44"/>
      </c>
      <c r="M423" s="169"/>
      <c r="N423" s="199"/>
      <c r="O423" s="199"/>
    </row>
    <row r="424" spans="1:15" s="1" customFormat="1" ht="12.75">
      <c r="A424" s="224">
        <v>366670</v>
      </c>
      <c r="B424" s="9" t="s">
        <v>138</v>
      </c>
      <c r="C424" s="20"/>
      <c r="D424" s="72"/>
      <c r="E424" s="72"/>
      <c r="F424" s="95"/>
      <c r="G424" s="378">
        <f t="shared" si="45"/>
        <v>0</v>
      </c>
      <c r="H424" s="38"/>
      <c r="I424" s="41"/>
      <c r="J424" s="41"/>
      <c r="K424" s="367"/>
      <c r="L424" s="520">
        <f t="shared" si="44"/>
      </c>
      <c r="M424" s="169"/>
      <c r="N424" s="199"/>
      <c r="O424" s="199"/>
    </row>
    <row r="425" spans="1:15" s="1" customFormat="1" ht="12.75">
      <c r="A425" s="224">
        <v>369011</v>
      </c>
      <c r="B425" s="9" t="s">
        <v>11</v>
      </c>
      <c r="C425" s="20"/>
      <c r="D425" s="72"/>
      <c r="E425" s="72"/>
      <c r="F425" s="95"/>
      <c r="G425" s="378">
        <f t="shared" si="45"/>
        <v>0</v>
      </c>
      <c r="H425" s="38"/>
      <c r="I425" s="41"/>
      <c r="J425" s="41"/>
      <c r="K425" s="367"/>
      <c r="L425" s="520">
        <f t="shared" si="44"/>
      </c>
      <c r="M425" s="169"/>
      <c r="N425" s="199"/>
      <c r="O425" s="199"/>
    </row>
    <row r="426" spans="1:15" s="1" customFormat="1" ht="12.75">
      <c r="A426" s="224">
        <v>369027</v>
      </c>
      <c r="B426" s="9" t="s">
        <v>15</v>
      </c>
      <c r="C426" s="20"/>
      <c r="D426" s="72"/>
      <c r="E426" s="72"/>
      <c r="F426" s="95"/>
      <c r="G426" s="378">
        <f t="shared" si="45"/>
        <v>0</v>
      </c>
      <c r="H426" s="38"/>
      <c r="I426" s="41"/>
      <c r="J426" s="41"/>
      <c r="K426" s="367"/>
      <c r="L426" s="520">
        <f t="shared" si="44"/>
      </c>
      <c r="M426" s="169"/>
      <c r="N426" s="199"/>
      <c r="O426" s="199"/>
    </row>
    <row r="427" spans="1:15" s="1" customFormat="1" ht="12.75">
      <c r="A427" s="224">
        <v>369040</v>
      </c>
      <c r="B427" s="9" t="s">
        <v>769</v>
      </c>
      <c r="C427" s="20"/>
      <c r="D427" s="72"/>
      <c r="E427" s="72"/>
      <c r="F427" s="95"/>
      <c r="G427" s="378">
        <f t="shared" si="45"/>
        <v>0</v>
      </c>
      <c r="H427" s="38"/>
      <c r="I427" s="41"/>
      <c r="J427" s="41"/>
      <c r="K427" s="367"/>
      <c r="L427" s="520">
        <f t="shared" si="44"/>
      </c>
      <c r="M427" s="169"/>
      <c r="N427" s="199"/>
      <c r="O427" s="199"/>
    </row>
    <row r="428" spans="1:15" s="1" customFormat="1" ht="12.75">
      <c r="A428" s="224">
        <v>369050</v>
      </c>
      <c r="B428" s="9" t="s">
        <v>17</v>
      </c>
      <c r="C428" s="20"/>
      <c r="D428" s="72"/>
      <c r="E428" s="72"/>
      <c r="F428" s="95"/>
      <c r="G428" s="378">
        <f t="shared" si="45"/>
        <v>0</v>
      </c>
      <c r="H428" s="38"/>
      <c r="I428" s="41"/>
      <c r="J428" s="41"/>
      <c r="K428" s="367"/>
      <c r="L428" s="520">
        <f t="shared" si="44"/>
      </c>
      <c r="M428" s="169"/>
      <c r="N428" s="199"/>
      <c r="O428" s="199"/>
    </row>
    <row r="429" spans="1:15" s="1" customFormat="1" ht="12.75">
      <c r="A429" s="224">
        <v>369052</v>
      </c>
      <c r="B429" s="9" t="s">
        <v>85</v>
      </c>
      <c r="C429" s="20"/>
      <c r="D429" s="72"/>
      <c r="E429" s="72"/>
      <c r="F429" s="95"/>
      <c r="G429" s="378">
        <f t="shared" si="45"/>
        <v>0</v>
      </c>
      <c r="H429" s="38"/>
      <c r="I429" s="41"/>
      <c r="J429" s="41"/>
      <c r="K429" s="367"/>
      <c r="L429" s="520">
        <f t="shared" si="44"/>
      </c>
      <c r="M429" s="169"/>
      <c r="N429" s="199"/>
      <c r="O429" s="199"/>
    </row>
    <row r="430" spans="1:15" s="1" customFormat="1" ht="12.75">
      <c r="A430" s="224">
        <v>369053</v>
      </c>
      <c r="B430" s="9" t="s">
        <v>86</v>
      </c>
      <c r="C430" s="20"/>
      <c r="D430" s="72"/>
      <c r="E430" s="72"/>
      <c r="F430" s="95"/>
      <c r="G430" s="378">
        <f t="shared" si="45"/>
        <v>0</v>
      </c>
      <c r="H430" s="38"/>
      <c r="I430" s="41"/>
      <c r="J430" s="41"/>
      <c r="K430" s="367"/>
      <c r="L430" s="520">
        <f t="shared" si="44"/>
      </c>
      <c r="M430" s="169"/>
      <c r="N430" s="199"/>
      <c r="O430" s="199"/>
    </row>
    <row r="431" spans="1:15" s="1" customFormat="1" ht="12.75">
      <c r="A431" s="224">
        <v>369054</v>
      </c>
      <c r="B431" s="9" t="s">
        <v>87</v>
      </c>
      <c r="C431" s="20"/>
      <c r="D431" s="72"/>
      <c r="E431" s="72"/>
      <c r="F431" s="95"/>
      <c r="G431" s="378">
        <f t="shared" si="45"/>
        <v>0</v>
      </c>
      <c r="H431" s="38"/>
      <c r="I431" s="41"/>
      <c r="J431" s="41"/>
      <c r="K431" s="367"/>
      <c r="L431" s="520">
        <f t="shared" si="44"/>
      </c>
      <c r="M431" s="169"/>
      <c r="N431" s="199"/>
      <c r="O431" s="199"/>
    </row>
    <row r="432" spans="1:15" s="1" customFormat="1" ht="12.75">
      <c r="A432" s="224">
        <v>369060</v>
      </c>
      <c r="B432" s="9" t="s">
        <v>562</v>
      </c>
      <c r="C432" s="20"/>
      <c r="D432" s="72"/>
      <c r="E432" s="72"/>
      <c r="F432" s="95"/>
      <c r="G432" s="378">
        <f t="shared" si="45"/>
        <v>0</v>
      </c>
      <c r="H432" s="38"/>
      <c r="I432" s="41"/>
      <c r="J432" s="41"/>
      <c r="K432" s="367"/>
      <c r="L432" s="520">
        <f t="shared" si="44"/>
      </c>
      <c r="M432" s="169"/>
      <c r="N432" s="199"/>
      <c r="O432" s="199"/>
    </row>
    <row r="433" spans="1:15" s="1" customFormat="1" ht="12.75">
      <c r="A433" s="224">
        <v>369064</v>
      </c>
      <c r="B433" s="9" t="s">
        <v>21</v>
      </c>
      <c r="C433" s="20"/>
      <c r="D433" s="72"/>
      <c r="E433" s="72"/>
      <c r="F433" s="95"/>
      <c r="G433" s="378">
        <f t="shared" si="45"/>
        <v>0</v>
      </c>
      <c r="H433" s="38"/>
      <c r="I433" s="41"/>
      <c r="J433" s="41"/>
      <c r="K433" s="367"/>
      <c r="L433" s="520">
        <f t="shared" si="44"/>
      </c>
      <c r="M433" s="169"/>
      <c r="N433" s="199"/>
      <c r="O433" s="199"/>
    </row>
    <row r="434" spans="1:15" s="1" customFormat="1" ht="12.75">
      <c r="A434" s="224">
        <v>369069</v>
      </c>
      <c r="B434" s="218" t="s">
        <v>564</v>
      </c>
      <c r="C434" s="219" t="s">
        <v>416</v>
      </c>
      <c r="D434" s="220"/>
      <c r="E434" s="220"/>
      <c r="F434" s="221"/>
      <c r="G434" s="379">
        <f t="shared" si="45"/>
        <v>0</v>
      </c>
      <c r="H434" s="38"/>
      <c r="I434" s="41"/>
      <c r="J434" s="41"/>
      <c r="K434" s="367"/>
      <c r="L434" s="520">
        <f t="shared" si="44"/>
      </c>
      <c r="M434" s="169"/>
      <c r="N434" s="199"/>
      <c r="O434" s="199"/>
    </row>
    <row r="435" spans="1:15" s="1" customFormat="1" ht="13.5" thickBot="1">
      <c r="A435" s="231" t="s">
        <v>401</v>
      </c>
      <c r="B435" s="6"/>
      <c r="C435" s="22"/>
      <c r="D435" s="44"/>
      <c r="E435" s="71"/>
      <c r="F435" s="90" t="s">
        <v>570</v>
      </c>
      <c r="G435" s="383">
        <f>SUM(G405:G434)</f>
        <v>0</v>
      </c>
      <c r="H435" s="38"/>
      <c r="I435" s="44"/>
      <c r="J435" s="44"/>
      <c r="K435" s="366"/>
      <c r="L435" s="383">
        <f>SUM(L405:L434)</f>
        <v>0</v>
      </c>
      <c r="M435" s="169"/>
      <c r="N435" s="199"/>
      <c r="O435" s="199"/>
    </row>
    <row r="436" spans="1:15" s="1" customFormat="1" ht="0.75" customHeight="1" thickTop="1">
      <c r="A436" s="226"/>
      <c r="C436" s="21"/>
      <c r="D436" s="44"/>
      <c r="E436" s="71"/>
      <c r="F436" s="90"/>
      <c r="G436" s="41"/>
      <c r="H436" s="38"/>
      <c r="I436" s="41"/>
      <c r="J436" s="41"/>
      <c r="K436" s="366"/>
      <c r="L436" s="516"/>
      <c r="M436" s="169"/>
      <c r="N436" s="199"/>
      <c r="O436" s="199"/>
    </row>
    <row r="437" spans="1:15" s="1" customFormat="1" ht="24.75" customHeight="1" thickTop="1">
      <c r="A437" s="228" t="s">
        <v>525</v>
      </c>
      <c r="B437" s="2"/>
      <c r="C437" s="21"/>
      <c r="D437" s="171" t="s">
        <v>422</v>
      </c>
      <c r="E437" s="172" t="s">
        <v>423</v>
      </c>
      <c r="F437" s="171" t="s">
        <v>424</v>
      </c>
      <c r="G437" s="171" t="s">
        <v>425</v>
      </c>
      <c r="H437" s="171" t="s">
        <v>426</v>
      </c>
      <c r="I437" s="173" t="s">
        <v>427</v>
      </c>
      <c r="J437" s="173"/>
      <c r="K437" s="366"/>
      <c r="L437" s="518" t="s">
        <v>688</v>
      </c>
      <c r="M437" s="169"/>
      <c r="N437" s="199"/>
      <c r="O437" s="199"/>
    </row>
    <row r="438" spans="1:15" s="1" customFormat="1" ht="12.75">
      <c r="A438" s="224">
        <v>371710</v>
      </c>
      <c r="B438" s="9" t="s">
        <v>142</v>
      </c>
      <c r="C438" s="20"/>
      <c r="D438" s="72"/>
      <c r="E438" s="72"/>
      <c r="F438" s="95"/>
      <c r="G438" s="377">
        <f aca="true" t="shared" si="46" ref="G438:G452">IF(X=0,(IF(Me=0,Sa,Me*Sa)),(IF(Me=0,Sa*X,Me*X*Sa)))</f>
        <v>0</v>
      </c>
      <c r="H438" s="375">
        <f aca="true" t="shared" si="47" ref="H438:H452">IF(Sum,Sos,0)</f>
        <v>0</v>
      </c>
      <c r="I438" s="376">
        <f aca="true" t="shared" si="48" ref="I438:I452">IF(Prosent&lt;&gt;0,(Sum*Prosent)/100,0)</f>
        <v>0</v>
      </c>
      <c r="J438" s="41"/>
      <c r="K438" s="367"/>
      <c r="L438" s="520">
        <f aca="true" t="shared" si="49" ref="L438:L468">IF(FMVA&lt;&gt;"",(Sum*mva)-Sum,"")</f>
      </c>
      <c r="M438" s="169"/>
      <c r="N438" s="199"/>
      <c r="O438" s="199"/>
    </row>
    <row r="439" spans="1:15" s="1" customFormat="1" ht="12.75">
      <c r="A439" s="224">
        <v>371711</v>
      </c>
      <c r="B439" s="9" t="s">
        <v>143</v>
      </c>
      <c r="C439" s="20"/>
      <c r="D439" s="55"/>
      <c r="E439" s="72"/>
      <c r="F439" s="381">
        <f>IF(D439=0,0,+G438)</f>
        <v>0</v>
      </c>
      <c r="G439" s="378">
        <f t="shared" si="46"/>
        <v>0</v>
      </c>
      <c r="H439" s="375">
        <f t="shared" si="47"/>
        <v>0</v>
      </c>
      <c r="I439" s="376">
        <f t="shared" si="48"/>
        <v>0</v>
      </c>
      <c r="J439" s="41"/>
      <c r="K439" s="367"/>
      <c r="L439" s="520">
        <f t="shared" si="49"/>
      </c>
      <c r="M439" s="169"/>
      <c r="N439" s="199"/>
      <c r="O439" s="199"/>
    </row>
    <row r="440" spans="1:15" s="1" customFormat="1" ht="12.75">
      <c r="A440" s="224">
        <v>371712</v>
      </c>
      <c r="B440" s="9" t="s">
        <v>741</v>
      </c>
      <c r="C440" s="20"/>
      <c r="D440" s="72"/>
      <c r="E440" s="72"/>
      <c r="F440" s="95"/>
      <c r="G440" s="378">
        <f t="shared" si="46"/>
        <v>0</v>
      </c>
      <c r="H440" s="375">
        <f t="shared" si="47"/>
        <v>0</v>
      </c>
      <c r="I440" s="376">
        <f t="shared" si="48"/>
        <v>0</v>
      </c>
      <c r="J440" s="41"/>
      <c r="K440" s="367"/>
      <c r="L440" s="520">
        <f t="shared" si="49"/>
      </c>
      <c r="M440" s="169"/>
      <c r="N440" s="199"/>
      <c r="O440" s="199"/>
    </row>
    <row r="441" spans="1:15" s="1" customFormat="1" ht="12.75">
      <c r="A441" s="224">
        <v>371713</v>
      </c>
      <c r="B441" s="12" t="s">
        <v>742</v>
      </c>
      <c r="C441" s="20"/>
      <c r="D441" s="55"/>
      <c r="E441" s="72"/>
      <c r="F441" s="381">
        <f>IF(D441=0,0,+G440)</f>
        <v>0</v>
      </c>
      <c r="G441" s="378">
        <f t="shared" si="46"/>
        <v>0</v>
      </c>
      <c r="H441" s="375">
        <f t="shared" si="47"/>
        <v>0</v>
      </c>
      <c r="I441" s="376">
        <f t="shared" si="48"/>
        <v>0</v>
      </c>
      <c r="J441" s="41"/>
      <c r="K441" s="367"/>
      <c r="L441" s="520">
        <f t="shared" si="49"/>
      </c>
      <c r="M441" s="169"/>
      <c r="N441" s="199"/>
      <c r="O441" s="199"/>
    </row>
    <row r="442" spans="1:15" s="1" customFormat="1" ht="12.75">
      <c r="A442" s="224">
        <v>371714</v>
      </c>
      <c r="B442" s="9" t="s">
        <v>144</v>
      </c>
      <c r="C442" s="20"/>
      <c r="D442" s="72"/>
      <c r="E442" s="72"/>
      <c r="F442" s="95"/>
      <c r="G442" s="378">
        <f t="shared" si="46"/>
        <v>0</v>
      </c>
      <c r="H442" s="375">
        <f t="shared" si="47"/>
        <v>0</v>
      </c>
      <c r="I442" s="376">
        <f t="shared" si="48"/>
        <v>0</v>
      </c>
      <c r="J442" s="41"/>
      <c r="K442" s="367"/>
      <c r="L442" s="520">
        <f t="shared" si="49"/>
      </c>
      <c r="M442" s="169"/>
      <c r="N442" s="199"/>
      <c r="O442" s="199"/>
    </row>
    <row r="443" spans="1:15" s="1" customFormat="1" ht="12.75">
      <c r="A443" s="224">
        <v>371715</v>
      </c>
      <c r="B443" s="12" t="s">
        <v>145</v>
      </c>
      <c r="C443" s="20"/>
      <c r="D443" s="55"/>
      <c r="E443" s="72"/>
      <c r="F443" s="381">
        <f>IF(D443=0,0,+G442)</f>
        <v>0</v>
      </c>
      <c r="G443" s="378">
        <f t="shared" si="46"/>
        <v>0</v>
      </c>
      <c r="H443" s="375">
        <f t="shared" si="47"/>
        <v>0</v>
      </c>
      <c r="I443" s="376">
        <f t="shared" si="48"/>
        <v>0</v>
      </c>
      <c r="J443" s="41"/>
      <c r="K443" s="367"/>
      <c r="L443" s="520">
        <f t="shared" si="49"/>
      </c>
      <c r="M443" s="169"/>
      <c r="N443" s="199"/>
      <c r="O443" s="199"/>
    </row>
    <row r="444" spans="1:15" s="1" customFormat="1" ht="12.75">
      <c r="A444" s="224">
        <v>371720</v>
      </c>
      <c r="B444" s="9" t="s">
        <v>146</v>
      </c>
      <c r="C444" s="20"/>
      <c r="D444" s="72"/>
      <c r="E444" s="72"/>
      <c r="F444" s="95"/>
      <c r="G444" s="378">
        <f t="shared" si="46"/>
        <v>0</v>
      </c>
      <c r="H444" s="375">
        <f t="shared" si="47"/>
        <v>0</v>
      </c>
      <c r="I444" s="376">
        <f t="shared" si="48"/>
        <v>0</v>
      </c>
      <c r="J444" s="41"/>
      <c r="K444" s="367"/>
      <c r="L444" s="520">
        <f t="shared" si="49"/>
      </c>
      <c r="M444" s="169"/>
      <c r="N444" s="199"/>
      <c r="O444" s="199"/>
    </row>
    <row r="445" spans="1:15" s="1" customFormat="1" ht="12.75">
      <c r="A445" s="224">
        <v>371721</v>
      </c>
      <c r="B445" s="12" t="s">
        <v>147</v>
      </c>
      <c r="C445" s="20"/>
      <c r="D445" s="55"/>
      <c r="E445" s="72"/>
      <c r="F445" s="381">
        <f>IF(D445=0,0,+G444)</f>
        <v>0</v>
      </c>
      <c r="G445" s="378">
        <f t="shared" si="46"/>
        <v>0</v>
      </c>
      <c r="H445" s="375">
        <f t="shared" si="47"/>
        <v>0</v>
      </c>
      <c r="I445" s="376">
        <f t="shared" si="48"/>
        <v>0</v>
      </c>
      <c r="J445" s="41"/>
      <c r="K445" s="367"/>
      <c r="L445" s="520">
        <f t="shared" si="49"/>
      </c>
      <c r="M445" s="169"/>
      <c r="N445" s="199"/>
      <c r="O445" s="199"/>
    </row>
    <row r="446" spans="1:15" s="1" customFormat="1" ht="12.75">
      <c r="A446" s="224">
        <v>371730</v>
      </c>
      <c r="B446" s="9" t="s">
        <v>148</v>
      </c>
      <c r="C446" s="20"/>
      <c r="D446" s="72"/>
      <c r="E446" s="72"/>
      <c r="F446" s="95"/>
      <c r="G446" s="378">
        <f t="shared" si="46"/>
        <v>0</v>
      </c>
      <c r="H446" s="375">
        <f t="shared" si="47"/>
        <v>0</v>
      </c>
      <c r="I446" s="376">
        <f t="shared" si="48"/>
        <v>0</v>
      </c>
      <c r="J446" s="41"/>
      <c r="K446" s="367"/>
      <c r="L446" s="520">
        <f t="shared" si="49"/>
      </c>
      <c r="M446" s="169"/>
      <c r="N446" s="199"/>
      <c r="O446" s="199"/>
    </row>
    <row r="447" spans="1:15" s="1" customFormat="1" ht="12.75">
      <c r="A447" s="224">
        <v>371731</v>
      </c>
      <c r="B447" s="12" t="s">
        <v>149</v>
      </c>
      <c r="C447" s="20"/>
      <c r="D447" s="55"/>
      <c r="E447" s="72"/>
      <c r="F447" s="381">
        <f>IF(D447=0,0,+G446)</f>
        <v>0</v>
      </c>
      <c r="G447" s="378">
        <f t="shared" si="46"/>
        <v>0</v>
      </c>
      <c r="H447" s="375">
        <f t="shared" si="47"/>
        <v>0</v>
      </c>
      <c r="I447" s="376">
        <f t="shared" si="48"/>
        <v>0</v>
      </c>
      <c r="J447" s="41"/>
      <c r="K447" s="367"/>
      <c r="L447" s="520">
        <f t="shared" si="49"/>
      </c>
      <c r="M447" s="169"/>
      <c r="N447" s="199"/>
      <c r="O447" s="199"/>
    </row>
    <row r="448" spans="1:15" s="1" customFormat="1" ht="12.75">
      <c r="A448" s="224">
        <v>371740</v>
      </c>
      <c r="B448" s="9" t="s">
        <v>150</v>
      </c>
      <c r="C448" s="20"/>
      <c r="D448" s="72"/>
      <c r="E448" s="72"/>
      <c r="F448" s="95"/>
      <c r="G448" s="378">
        <f t="shared" si="46"/>
        <v>0</v>
      </c>
      <c r="H448" s="375">
        <f t="shared" si="47"/>
        <v>0</v>
      </c>
      <c r="I448" s="376">
        <f t="shared" si="48"/>
        <v>0</v>
      </c>
      <c r="J448" s="41"/>
      <c r="K448" s="367"/>
      <c r="L448" s="520">
        <f t="shared" si="49"/>
      </c>
      <c r="M448" s="169"/>
      <c r="N448" s="199"/>
      <c r="O448" s="199"/>
    </row>
    <row r="449" spans="1:15" s="1" customFormat="1" ht="12.75">
      <c r="A449" s="224">
        <v>371741</v>
      </c>
      <c r="B449" s="12" t="s">
        <v>151</v>
      </c>
      <c r="C449" s="20"/>
      <c r="D449" s="55"/>
      <c r="E449" s="72"/>
      <c r="F449" s="381">
        <f>IF(D449=0,0,+G448)</f>
        <v>0</v>
      </c>
      <c r="G449" s="378">
        <f t="shared" si="46"/>
        <v>0</v>
      </c>
      <c r="H449" s="375">
        <f t="shared" si="47"/>
        <v>0</v>
      </c>
      <c r="I449" s="376">
        <f t="shared" si="48"/>
        <v>0</v>
      </c>
      <c r="J449" s="41"/>
      <c r="K449" s="367"/>
      <c r="L449" s="520">
        <f t="shared" si="49"/>
      </c>
      <c r="M449" s="169"/>
      <c r="N449" s="199"/>
      <c r="O449" s="199"/>
    </row>
    <row r="450" spans="1:15" s="1" customFormat="1" ht="12.75">
      <c r="A450" s="224">
        <v>371790</v>
      </c>
      <c r="B450" s="9" t="s">
        <v>152</v>
      </c>
      <c r="C450" s="20"/>
      <c r="D450" s="72"/>
      <c r="E450" s="72"/>
      <c r="F450" s="95"/>
      <c r="G450" s="378">
        <f t="shared" si="46"/>
        <v>0</v>
      </c>
      <c r="H450" s="375">
        <f t="shared" si="47"/>
        <v>0</v>
      </c>
      <c r="I450" s="376">
        <f t="shared" si="48"/>
        <v>0</v>
      </c>
      <c r="J450" s="41"/>
      <c r="K450" s="367"/>
      <c r="L450" s="520">
        <f t="shared" si="49"/>
      </c>
      <c r="M450" s="169"/>
      <c r="N450" s="199"/>
      <c r="O450" s="199"/>
    </row>
    <row r="451" spans="1:15" s="1" customFormat="1" ht="12.75">
      <c r="A451" s="224">
        <v>371791</v>
      </c>
      <c r="B451" s="9" t="s">
        <v>153</v>
      </c>
      <c r="C451" s="20"/>
      <c r="D451" s="40"/>
      <c r="E451" s="72"/>
      <c r="F451" s="381">
        <f>IF(D451=0,0,+G450)</f>
        <v>0</v>
      </c>
      <c r="G451" s="378">
        <f t="shared" si="46"/>
        <v>0</v>
      </c>
      <c r="H451" s="375">
        <f t="shared" si="47"/>
        <v>0</v>
      </c>
      <c r="I451" s="376">
        <f t="shared" si="48"/>
        <v>0</v>
      </c>
      <c r="J451" s="41"/>
      <c r="K451" s="367"/>
      <c r="L451" s="520">
        <f t="shared" si="49"/>
      </c>
      <c r="M451" s="169"/>
      <c r="N451" s="199"/>
      <c r="O451" s="199"/>
    </row>
    <row r="452" spans="1:15" s="1" customFormat="1" ht="12.75">
      <c r="A452" s="224">
        <v>374092</v>
      </c>
      <c r="B452" s="9" t="s">
        <v>590</v>
      </c>
      <c r="C452" s="20"/>
      <c r="D452" s="72"/>
      <c r="E452" s="72"/>
      <c r="F452" s="95"/>
      <c r="G452" s="378">
        <f t="shared" si="46"/>
        <v>0</v>
      </c>
      <c r="H452" s="375">
        <f t="shared" si="47"/>
        <v>0</v>
      </c>
      <c r="I452" s="376">
        <f t="shared" si="48"/>
        <v>0</v>
      </c>
      <c r="J452" s="41"/>
      <c r="K452" s="367"/>
      <c r="L452" s="520">
        <f t="shared" si="49"/>
      </c>
      <c r="M452" s="169"/>
      <c r="N452" s="199"/>
      <c r="O452" s="199"/>
    </row>
    <row r="453" spans="1:15" s="1" customFormat="1" ht="12.75">
      <c r="A453" s="224">
        <v>374095</v>
      </c>
      <c r="B453" s="12" t="s">
        <v>554</v>
      </c>
      <c r="C453" s="20"/>
      <c r="D453" s="73"/>
      <c r="E453" s="73"/>
      <c r="F453" s="98"/>
      <c r="G453" s="384">
        <f>SUM(I438:I452)</f>
        <v>0</v>
      </c>
      <c r="H453" s="38"/>
      <c r="I453" s="39" t="s">
        <v>555</v>
      </c>
      <c r="J453" s="39"/>
      <c r="K453" s="572"/>
      <c r="L453" s="520"/>
      <c r="M453" s="169"/>
      <c r="N453" s="199"/>
      <c r="O453" s="199"/>
    </row>
    <row r="454" spans="1:15" s="1" customFormat="1" ht="12.75">
      <c r="A454" s="224">
        <v>376720</v>
      </c>
      <c r="B454" s="9" t="s">
        <v>154</v>
      </c>
      <c r="C454" s="20"/>
      <c r="D454" s="72"/>
      <c r="E454" s="72"/>
      <c r="F454" s="95"/>
      <c r="G454" s="378">
        <f aca="true" t="shared" si="50" ref="G454:G468">IF(X=0,(IF(Me=0,Sa,Me*Sa)),(IF(Me=0,Sa*X,Me*X*Sa)))</f>
        <v>0</v>
      </c>
      <c r="H454" s="38"/>
      <c r="I454" s="41"/>
      <c r="J454" s="41"/>
      <c r="K454" s="367"/>
      <c r="L454" s="520">
        <f t="shared" si="49"/>
      </c>
      <c r="M454" s="169"/>
      <c r="N454" s="199"/>
      <c r="O454" s="199"/>
    </row>
    <row r="455" spans="1:15" s="1" customFormat="1" ht="12.75">
      <c r="A455" s="224">
        <v>376730</v>
      </c>
      <c r="B455" s="9" t="s">
        <v>155</v>
      </c>
      <c r="C455" s="20"/>
      <c r="D455" s="72"/>
      <c r="E455" s="72"/>
      <c r="F455" s="95"/>
      <c r="G455" s="378">
        <f t="shared" si="50"/>
        <v>0</v>
      </c>
      <c r="H455" s="38"/>
      <c r="I455" s="41"/>
      <c r="J455" s="41"/>
      <c r="K455" s="367"/>
      <c r="L455" s="520">
        <f t="shared" si="49"/>
      </c>
      <c r="M455" s="169"/>
      <c r="N455" s="199"/>
      <c r="O455" s="199"/>
    </row>
    <row r="456" spans="1:15" s="1" customFormat="1" ht="12.75">
      <c r="A456" s="224">
        <v>376740</v>
      </c>
      <c r="B456" s="9" t="s">
        <v>156</v>
      </c>
      <c r="C456" s="20"/>
      <c r="D456" s="72"/>
      <c r="E456" s="72"/>
      <c r="F456" s="95"/>
      <c r="G456" s="378">
        <f t="shared" si="50"/>
        <v>0</v>
      </c>
      <c r="H456" s="38"/>
      <c r="I456" s="41"/>
      <c r="J456" s="41"/>
      <c r="K456" s="367"/>
      <c r="L456" s="520">
        <f t="shared" si="49"/>
      </c>
      <c r="M456" s="169"/>
      <c r="N456" s="199"/>
      <c r="O456" s="199"/>
    </row>
    <row r="457" spans="1:15" s="1" customFormat="1" ht="12.75">
      <c r="A457" s="224">
        <v>376770</v>
      </c>
      <c r="B457" s="9" t="s">
        <v>157</v>
      </c>
      <c r="C457" s="20"/>
      <c r="D457" s="72"/>
      <c r="E457" s="72"/>
      <c r="F457" s="95"/>
      <c r="G457" s="378">
        <f t="shared" si="50"/>
        <v>0</v>
      </c>
      <c r="H457" s="38"/>
      <c r="I457" s="41"/>
      <c r="J457" s="41"/>
      <c r="K457" s="367"/>
      <c r="L457" s="520">
        <f t="shared" si="49"/>
      </c>
      <c r="M457" s="169"/>
      <c r="N457" s="199"/>
      <c r="O457" s="199"/>
    </row>
    <row r="458" spans="1:15" s="1" customFormat="1" ht="12.75">
      <c r="A458" s="224">
        <v>376771</v>
      </c>
      <c r="B458" s="9" t="s">
        <v>158</v>
      </c>
      <c r="C458" s="20"/>
      <c r="D458" s="72"/>
      <c r="E458" s="72"/>
      <c r="F458" s="95"/>
      <c r="G458" s="378">
        <f t="shared" si="50"/>
        <v>0</v>
      </c>
      <c r="H458" s="38"/>
      <c r="I458" s="41"/>
      <c r="J458" s="41"/>
      <c r="K458" s="367"/>
      <c r="L458" s="520">
        <f t="shared" si="49"/>
      </c>
      <c r="M458" s="169"/>
      <c r="N458" s="199"/>
      <c r="O458" s="199"/>
    </row>
    <row r="459" spans="1:15" s="1" customFormat="1" ht="12.75">
      <c r="A459" s="224">
        <v>379011</v>
      </c>
      <c r="B459" s="9" t="s">
        <v>11</v>
      </c>
      <c r="C459" s="20"/>
      <c r="D459" s="72"/>
      <c r="E459" s="72"/>
      <c r="F459" s="95"/>
      <c r="G459" s="378">
        <f t="shared" si="50"/>
        <v>0</v>
      </c>
      <c r="H459" s="38"/>
      <c r="I459" s="41"/>
      <c r="J459" s="41"/>
      <c r="K459" s="367"/>
      <c r="L459" s="520">
        <f t="shared" si="49"/>
      </c>
      <c r="M459" s="169"/>
      <c r="N459" s="199"/>
      <c r="O459" s="199"/>
    </row>
    <row r="460" spans="1:15" s="1" customFormat="1" ht="12.75">
      <c r="A460" s="224">
        <v>379027</v>
      </c>
      <c r="B460" s="9" t="s">
        <v>15</v>
      </c>
      <c r="C460" s="20"/>
      <c r="D460" s="72"/>
      <c r="E460" s="72"/>
      <c r="F460" s="95"/>
      <c r="G460" s="378">
        <f t="shared" si="50"/>
        <v>0</v>
      </c>
      <c r="H460" s="38"/>
      <c r="I460" s="41"/>
      <c r="J460" s="41"/>
      <c r="K460" s="367"/>
      <c r="L460" s="520">
        <f t="shared" si="49"/>
      </c>
      <c r="M460" s="169"/>
      <c r="N460" s="199"/>
      <c r="O460" s="199"/>
    </row>
    <row r="461" spans="1:15" s="1" customFormat="1" ht="12.75">
      <c r="A461" s="224">
        <v>379040</v>
      </c>
      <c r="B461" s="9" t="s">
        <v>769</v>
      </c>
      <c r="C461" s="20"/>
      <c r="D461" s="72"/>
      <c r="E461" s="72"/>
      <c r="F461" s="95"/>
      <c r="G461" s="378">
        <f t="shared" si="50"/>
        <v>0</v>
      </c>
      <c r="H461" s="38"/>
      <c r="I461" s="41"/>
      <c r="J461" s="41"/>
      <c r="K461" s="367"/>
      <c r="L461" s="520">
        <f t="shared" si="49"/>
      </c>
      <c r="M461" s="169"/>
      <c r="N461" s="199"/>
      <c r="O461" s="199"/>
    </row>
    <row r="462" spans="1:15" s="1" customFormat="1" ht="12.75">
      <c r="A462" s="224">
        <v>379050</v>
      </c>
      <c r="B462" s="9" t="s">
        <v>17</v>
      </c>
      <c r="C462" s="20"/>
      <c r="D462" s="72"/>
      <c r="E462" s="72"/>
      <c r="F462" s="95"/>
      <c r="G462" s="378">
        <f t="shared" si="50"/>
        <v>0</v>
      </c>
      <c r="H462" s="38"/>
      <c r="I462" s="41"/>
      <c r="J462" s="41"/>
      <c r="K462" s="367"/>
      <c r="L462" s="520">
        <f t="shared" si="49"/>
      </c>
      <c r="M462" s="169"/>
      <c r="N462" s="199"/>
      <c r="O462" s="199"/>
    </row>
    <row r="463" spans="1:15" s="1" customFormat="1" ht="12.75">
      <c r="A463" s="224">
        <v>379052</v>
      </c>
      <c r="B463" s="9" t="s">
        <v>85</v>
      </c>
      <c r="C463" s="20"/>
      <c r="D463" s="72"/>
      <c r="E463" s="72"/>
      <c r="F463" s="95"/>
      <c r="G463" s="378">
        <f t="shared" si="50"/>
        <v>0</v>
      </c>
      <c r="H463" s="38"/>
      <c r="I463" s="41"/>
      <c r="J463" s="41"/>
      <c r="K463" s="367"/>
      <c r="L463" s="520">
        <f t="shared" si="49"/>
      </c>
      <c r="M463" s="169"/>
      <c r="N463" s="199"/>
      <c r="O463" s="199"/>
    </row>
    <row r="464" spans="1:15" s="1" customFormat="1" ht="12.75">
      <c r="A464" s="224">
        <v>379053</v>
      </c>
      <c r="B464" s="9" t="s">
        <v>86</v>
      </c>
      <c r="C464" s="20"/>
      <c r="D464" s="72"/>
      <c r="E464" s="72"/>
      <c r="F464" s="95"/>
      <c r="G464" s="378">
        <f t="shared" si="50"/>
        <v>0</v>
      </c>
      <c r="H464" s="38"/>
      <c r="I464" s="41"/>
      <c r="J464" s="41"/>
      <c r="K464" s="367"/>
      <c r="L464" s="520">
        <f t="shared" si="49"/>
      </c>
      <c r="M464" s="169"/>
      <c r="N464" s="199"/>
      <c r="O464" s="199"/>
    </row>
    <row r="465" spans="1:15" s="1" customFormat="1" ht="12.75">
      <c r="A465" s="224">
        <v>379054</v>
      </c>
      <c r="B465" s="9" t="s">
        <v>87</v>
      </c>
      <c r="C465" s="20"/>
      <c r="D465" s="72"/>
      <c r="E465" s="72"/>
      <c r="F465" s="95"/>
      <c r="G465" s="378">
        <f t="shared" si="50"/>
        <v>0</v>
      </c>
      <c r="H465" s="38"/>
      <c r="I465" s="41"/>
      <c r="J465" s="41"/>
      <c r="K465" s="367"/>
      <c r="L465" s="520">
        <f t="shared" si="49"/>
      </c>
      <c r="M465" s="169"/>
      <c r="N465" s="199"/>
      <c r="O465" s="199"/>
    </row>
    <row r="466" spans="1:15" s="1" customFormat="1" ht="12.75">
      <c r="A466" s="224">
        <v>379060</v>
      </c>
      <c r="B466" s="9" t="s">
        <v>562</v>
      </c>
      <c r="C466" s="20"/>
      <c r="D466" s="72"/>
      <c r="E466" s="72"/>
      <c r="F466" s="95"/>
      <c r="G466" s="378">
        <f t="shared" si="50"/>
        <v>0</v>
      </c>
      <c r="H466" s="38"/>
      <c r="I466" s="41"/>
      <c r="J466" s="41"/>
      <c r="K466" s="367"/>
      <c r="L466" s="520">
        <f t="shared" si="49"/>
      </c>
      <c r="M466" s="169"/>
      <c r="N466" s="199"/>
      <c r="O466" s="199"/>
    </row>
    <row r="467" spans="1:15" s="1" customFormat="1" ht="12.75">
      <c r="A467" s="224">
        <v>379064</v>
      </c>
      <c r="B467" s="9" t="s">
        <v>21</v>
      </c>
      <c r="C467" s="20"/>
      <c r="D467" s="72"/>
      <c r="E467" s="72"/>
      <c r="F467" s="95"/>
      <c r="G467" s="378">
        <f t="shared" si="50"/>
        <v>0</v>
      </c>
      <c r="H467" s="38"/>
      <c r="I467" s="41"/>
      <c r="J467" s="41"/>
      <c r="K467" s="367"/>
      <c r="L467" s="520">
        <f t="shared" si="49"/>
      </c>
      <c r="M467" s="169"/>
      <c r="N467" s="199"/>
      <c r="O467" s="199"/>
    </row>
    <row r="468" spans="1:15" s="1" customFormat="1" ht="12.75">
      <c r="A468" s="224">
        <v>379069</v>
      </c>
      <c r="B468" s="218" t="s">
        <v>564</v>
      </c>
      <c r="C468" s="219" t="s">
        <v>416</v>
      </c>
      <c r="D468" s="220"/>
      <c r="E468" s="220"/>
      <c r="F468" s="221"/>
      <c r="G468" s="379">
        <f t="shared" si="50"/>
        <v>0</v>
      </c>
      <c r="H468" s="38"/>
      <c r="I468" s="41"/>
      <c r="J468" s="41"/>
      <c r="K468" s="367"/>
      <c r="L468" s="520">
        <f t="shared" si="49"/>
      </c>
      <c r="M468" s="169"/>
      <c r="N468" s="199"/>
      <c r="O468" s="199"/>
    </row>
    <row r="469" spans="1:15" s="1" customFormat="1" ht="13.5" thickBot="1">
      <c r="A469" s="231" t="s">
        <v>401</v>
      </c>
      <c r="B469" s="6"/>
      <c r="C469" s="22"/>
      <c r="D469" s="44"/>
      <c r="E469" s="71"/>
      <c r="F469" s="90" t="s">
        <v>570</v>
      </c>
      <c r="G469" s="383">
        <f>SUM(G438:G468)</f>
        <v>0</v>
      </c>
      <c r="H469" s="38"/>
      <c r="I469" s="44"/>
      <c r="J469" s="44"/>
      <c r="K469" s="366"/>
      <c r="L469" s="383">
        <f>SUM(L438:L468)</f>
        <v>0</v>
      </c>
      <c r="M469" s="169"/>
      <c r="N469" s="199"/>
      <c r="O469" s="199"/>
    </row>
    <row r="470" spans="1:15" s="1" customFormat="1" ht="0.75" customHeight="1" thickTop="1">
      <c r="A470" s="226"/>
      <c r="C470" s="21"/>
      <c r="D470" s="44"/>
      <c r="E470" s="71"/>
      <c r="F470" s="90"/>
      <c r="G470" s="41"/>
      <c r="H470" s="38"/>
      <c r="I470" s="41"/>
      <c r="J470" s="41"/>
      <c r="K470" s="366"/>
      <c r="L470" s="516"/>
      <c r="M470" s="169"/>
      <c r="N470" s="199"/>
      <c r="O470" s="199"/>
    </row>
    <row r="471" spans="1:15" s="1" customFormat="1" ht="24.75" customHeight="1" thickTop="1">
      <c r="A471" s="228" t="s">
        <v>526</v>
      </c>
      <c r="B471" s="2"/>
      <c r="C471" s="21"/>
      <c r="D471" s="171" t="s">
        <v>422</v>
      </c>
      <c r="E471" s="172" t="s">
        <v>423</v>
      </c>
      <c r="F471" s="171" t="s">
        <v>424</v>
      </c>
      <c r="G471" s="171" t="s">
        <v>425</v>
      </c>
      <c r="H471" s="171" t="s">
        <v>426</v>
      </c>
      <c r="I471" s="173" t="s">
        <v>427</v>
      </c>
      <c r="J471" s="173"/>
      <c r="K471" s="366"/>
      <c r="L471" s="518" t="s">
        <v>688</v>
      </c>
      <c r="M471" s="169"/>
      <c r="N471" s="199"/>
      <c r="O471" s="199"/>
    </row>
    <row r="472" spans="1:15" s="1" customFormat="1" ht="12.75">
      <c r="A472" s="224">
        <v>381810</v>
      </c>
      <c r="B472" s="9" t="s">
        <v>584</v>
      </c>
      <c r="C472" s="20"/>
      <c r="D472" s="72"/>
      <c r="E472" s="72"/>
      <c r="F472" s="95"/>
      <c r="G472" s="377">
        <f aca="true" t="shared" si="51" ref="G472:G492">IF(X=0,(IF(Me=0,Sa,Me*Sa)),(IF(Me=0,Sa*X,Me*X*Sa)))</f>
        <v>0</v>
      </c>
      <c r="H472" s="375">
        <f aca="true" t="shared" si="52" ref="H472:H492">IF(Sum,Sos,0)</f>
        <v>0</v>
      </c>
      <c r="I472" s="376">
        <f aca="true" t="shared" si="53" ref="I472:I492">IF(Prosent&lt;&gt;0,(Sum*Prosent)/100,0)</f>
        <v>0</v>
      </c>
      <c r="J472" s="41"/>
      <c r="K472" s="367"/>
      <c r="L472" s="520">
        <f aca="true" t="shared" si="54" ref="L472:L510">IF(FMVA&lt;&gt;"",(Sum*mva)-Sum,"")</f>
      </c>
      <c r="M472" s="169"/>
      <c r="N472" s="199"/>
      <c r="O472" s="199"/>
    </row>
    <row r="473" spans="1:15" s="1" customFormat="1" ht="12.75">
      <c r="A473" s="224">
        <v>381811</v>
      </c>
      <c r="B473" s="12" t="s">
        <v>585</v>
      </c>
      <c r="C473" s="20"/>
      <c r="D473" s="55"/>
      <c r="E473" s="72"/>
      <c r="F473" s="381">
        <f>IF(D473=0,0,+G472)</f>
        <v>0</v>
      </c>
      <c r="G473" s="378">
        <f t="shared" si="51"/>
        <v>0</v>
      </c>
      <c r="H473" s="375">
        <f t="shared" si="52"/>
        <v>0</v>
      </c>
      <c r="I473" s="376">
        <f t="shared" si="53"/>
        <v>0</v>
      </c>
      <c r="J473" s="41"/>
      <c r="K473" s="367"/>
      <c r="L473" s="520">
        <f t="shared" si="54"/>
      </c>
      <c r="M473" s="169"/>
      <c r="N473" s="199"/>
      <c r="O473" s="199"/>
    </row>
    <row r="474" spans="1:15" s="1" customFormat="1" ht="12.75">
      <c r="A474" s="224">
        <v>381812</v>
      </c>
      <c r="B474" s="9" t="s">
        <v>159</v>
      </c>
      <c r="C474" s="20"/>
      <c r="D474" s="72"/>
      <c r="E474" s="72"/>
      <c r="F474" s="95"/>
      <c r="G474" s="378">
        <f t="shared" si="51"/>
        <v>0</v>
      </c>
      <c r="H474" s="375">
        <f t="shared" si="52"/>
        <v>0</v>
      </c>
      <c r="I474" s="376">
        <f t="shared" si="53"/>
        <v>0</v>
      </c>
      <c r="J474" s="41"/>
      <c r="K474" s="367"/>
      <c r="L474" s="520">
        <f t="shared" si="54"/>
      </c>
      <c r="M474" s="169"/>
      <c r="N474" s="199"/>
      <c r="O474" s="199"/>
    </row>
    <row r="475" spans="1:15" s="1" customFormat="1" ht="12.75">
      <c r="A475" s="224">
        <v>381813</v>
      </c>
      <c r="B475" s="12" t="s">
        <v>160</v>
      </c>
      <c r="C475" s="20"/>
      <c r="D475" s="55"/>
      <c r="E475" s="72"/>
      <c r="F475" s="381">
        <f>IF(D475=0,0,+G474)</f>
        <v>0</v>
      </c>
      <c r="G475" s="378">
        <f t="shared" si="51"/>
        <v>0</v>
      </c>
      <c r="H475" s="375">
        <f t="shared" si="52"/>
        <v>0</v>
      </c>
      <c r="I475" s="376">
        <f t="shared" si="53"/>
        <v>0</v>
      </c>
      <c r="J475" s="41"/>
      <c r="K475" s="367"/>
      <c r="L475" s="520">
        <f t="shared" si="54"/>
      </c>
      <c r="M475" s="169"/>
      <c r="N475" s="199"/>
      <c r="O475" s="199"/>
    </row>
    <row r="476" spans="1:15" s="1" customFormat="1" ht="12.75">
      <c r="A476" s="224">
        <v>381814</v>
      </c>
      <c r="B476" s="9" t="s">
        <v>161</v>
      </c>
      <c r="C476" s="20"/>
      <c r="D476" s="72"/>
      <c r="E476" s="72"/>
      <c r="F476" s="95"/>
      <c r="G476" s="378">
        <f t="shared" si="51"/>
        <v>0</v>
      </c>
      <c r="H476" s="375">
        <f t="shared" si="52"/>
        <v>0</v>
      </c>
      <c r="I476" s="376">
        <f t="shared" si="53"/>
        <v>0</v>
      </c>
      <c r="J476" s="41"/>
      <c r="K476" s="367"/>
      <c r="L476" s="520">
        <f t="shared" si="54"/>
      </c>
      <c r="M476" s="169"/>
      <c r="N476" s="199"/>
      <c r="O476" s="199"/>
    </row>
    <row r="477" spans="1:15" s="1" customFormat="1" ht="12.75">
      <c r="A477" s="224">
        <v>381815</v>
      </c>
      <c r="B477" s="12" t="s">
        <v>162</v>
      </c>
      <c r="C477" s="20"/>
      <c r="D477" s="55"/>
      <c r="E477" s="72"/>
      <c r="F477" s="381">
        <f>IF(D477=0,0,+G476)</f>
        <v>0</v>
      </c>
      <c r="G477" s="378">
        <f t="shared" si="51"/>
        <v>0</v>
      </c>
      <c r="H477" s="375">
        <f t="shared" si="52"/>
        <v>0</v>
      </c>
      <c r="I477" s="376">
        <f t="shared" si="53"/>
        <v>0</v>
      </c>
      <c r="J477" s="41"/>
      <c r="K477" s="367"/>
      <c r="L477" s="520">
        <f t="shared" si="54"/>
      </c>
      <c r="M477" s="169"/>
      <c r="N477" s="199"/>
      <c r="O477" s="199"/>
    </row>
    <row r="478" spans="1:15" s="1" customFormat="1" ht="12.75">
      <c r="A478" s="224">
        <v>381816</v>
      </c>
      <c r="B478" s="9" t="s">
        <v>163</v>
      </c>
      <c r="C478" s="20"/>
      <c r="D478" s="72"/>
      <c r="E478" s="72"/>
      <c r="F478" s="95"/>
      <c r="G478" s="378">
        <f t="shared" si="51"/>
        <v>0</v>
      </c>
      <c r="H478" s="375">
        <f t="shared" si="52"/>
        <v>0</v>
      </c>
      <c r="I478" s="376">
        <f t="shared" si="53"/>
        <v>0</v>
      </c>
      <c r="J478" s="41"/>
      <c r="K478" s="367"/>
      <c r="L478" s="520">
        <f t="shared" si="54"/>
      </c>
      <c r="M478" s="169"/>
      <c r="N478" s="199"/>
      <c r="O478" s="199"/>
    </row>
    <row r="479" spans="1:15" s="1" customFormat="1" ht="12.75">
      <c r="A479" s="224">
        <v>381817</v>
      </c>
      <c r="B479" s="12" t="s">
        <v>164</v>
      </c>
      <c r="C479" s="20"/>
      <c r="D479" s="55"/>
      <c r="E479" s="72"/>
      <c r="F479" s="381">
        <f>IF(D479=0,0,+G478)</f>
        <v>0</v>
      </c>
      <c r="G479" s="378">
        <f t="shared" si="51"/>
        <v>0</v>
      </c>
      <c r="H479" s="375">
        <f t="shared" si="52"/>
        <v>0</v>
      </c>
      <c r="I479" s="376">
        <f t="shared" si="53"/>
        <v>0</v>
      </c>
      <c r="J479" s="41"/>
      <c r="K479" s="367"/>
      <c r="L479" s="520">
        <f t="shared" si="54"/>
      </c>
      <c r="M479" s="169"/>
      <c r="N479" s="199"/>
      <c r="O479" s="199"/>
    </row>
    <row r="480" spans="1:15" s="1" customFormat="1" ht="12.75">
      <c r="A480" s="224">
        <v>381820</v>
      </c>
      <c r="B480" s="9" t="s">
        <v>165</v>
      </c>
      <c r="C480" s="20"/>
      <c r="D480" s="72"/>
      <c r="E480" s="72"/>
      <c r="F480" s="95"/>
      <c r="G480" s="378">
        <f t="shared" si="51"/>
        <v>0</v>
      </c>
      <c r="H480" s="375">
        <f t="shared" si="52"/>
        <v>0</v>
      </c>
      <c r="I480" s="376">
        <f t="shared" si="53"/>
        <v>0</v>
      </c>
      <c r="J480" s="41"/>
      <c r="K480" s="367"/>
      <c r="L480" s="520">
        <f t="shared" si="54"/>
      </c>
      <c r="M480" s="169"/>
      <c r="N480" s="199"/>
      <c r="O480" s="199"/>
    </row>
    <row r="481" spans="1:15" s="1" customFormat="1" ht="12.75">
      <c r="A481" s="224">
        <v>381821</v>
      </c>
      <c r="B481" s="9" t="s">
        <v>166</v>
      </c>
      <c r="C481" s="20"/>
      <c r="D481" s="55"/>
      <c r="E481" s="72"/>
      <c r="F481" s="381">
        <f>IF(D481=0,0,+G480)</f>
        <v>0</v>
      </c>
      <c r="G481" s="378">
        <f t="shared" si="51"/>
        <v>0</v>
      </c>
      <c r="H481" s="375">
        <f t="shared" si="52"/>
        <v>0</v>
      </c>
      <c r="I481" s="376">
        <f t="shared" si="53"/>
        <v>0</v>
      </c>
      <c r="J481" s="41"/>
      <c r="K481" s="367"/>
      <c r="L481" s="520">
        <f t="shared" si="54"/>
      </c>
      <c r="M481" s="169"/>
      <c r="N481" s="199"/>
      <c r="O481" s="199"/>
    </row>
    <row r="482" spans="1:15" s="1" customFormat="1" ht="12.75">
      <c r="A482" s="224">
        <v>381830</v>
      </c>
      <c r="B482" s="9" t="s">
        <v>167</v>
      </c>
      <c r="C482" s="20"/>
      <c r="D482" s="72"/>
      <c r="E482" s="72"/>
      <c r="F482" s="95"/>
      <c r="G482" s="378">
        <f t="shared" si="51"/>
        <v>0</v>
      </c>
      <c r="H482" s="375">
        <f t="shared" si="52"/>
        <v>0</v>
      </c>
      <c r="I482" s="376">
        <f t="shared" si="53"/>
        <v>0</v>
      </c>
      <c r="J482" s="41"/>
      <c r="K482" s="367"/>
      <c r="L482" s="520">
        <f t="shared" si="54"/>
      </c>
      <c r="M482" s="169"/>
      <c r="N482" s="199"/>
      <c r="O482" s="199"/>
    </row>
    <row r="483" spans="1:15" s="1" customFormat="1" ht="12.75">
      <c r="A483" s="224">
        <v>381831</v>
      </c>
      <c r="B483" s="9" t="s">
        <v>168</v>
      </c>
      <c r="C483" s="20"/>
      <c r="D483" s="55"/>
      <c r="E483" s="72"/>
      <c r="F483" s="381">
        <f>IF(D483=0,0,+G482)</f>
        <v>0</v>
      </c>
      <c r="G483" s="378">
        <f t="shared" si="51"/>
        <v>0</v>
      </c>
      <c r="H483" s="375">
        <f t="shared" si="52"/>
        <v>0</v>
      </c>
      <c r="I483" s="376">
        <f t="shared" si="53"/>
        <v>0</v>
      </c>
      <c r="J483" s="41"/>
      <c r="K483" s="367"/>
      <c r="L483" s="520">
        <f t="shared" si="54"/>
      </c>
      <c r="M483" s="169"/>
      <c r="N483" s="199"/>
      <c r="O483" s="199"/>
    </row>
    <row r="484" spans="1:15" s="1" customFormat="1" ht="12.75">
      <c r="A484" s="224">
        <v>381832</v>
      </c>
      <c r="B484" s="9" t="s">
        <v>169</v>
      </c>
      <c r="C484" s="20"/>
      <c r="D484" s="72"/>
      <c r="E484" s="72"/>
      <c r="F484" s="95"/>
      <c r="G484" s="378">
        <f t="shared" si="51"/>
        <v>0</v>
      </c>
      <c r="H484" s="375">
        <f t="shared" si="52"/>
        <v>0</v>
      </c>
      <c r="I484" s="376">
        <f t="shared" si="53"/>
        <v>0</v>
      </c>
      <c r="J484" s="41"/>
      <c r="K484" s="367"/>
      <c r="L484" s="520">
        <f t="shared" si="54"/>
      </c>
      <c r="M484" s="169"/>
      <c r="N484" s="199"/>
      <c r="O484" s="199"/>
    </row>
    <row r="485" spans="1:15" s="1" customFormat="1" ht="12.75">
      <c r="A485" s="224">
        <v>381833</v>
      </c>
      <c r="B485" s="9" t="s">
        <v>170</v>
      </c>
      <c r="C485" s="20"/>
      <c r="D485" s="55"/>
      <c r="E485" s="72"/>
      <c r="F485" s="381">
        <f>IF(D485=0,0,+G484)</f>
        <v>0</v>
      </c>
      <c r="G485" s="378">
        <f t="shared" si="51"/>
        <v>0</v>
      </c>
      <c r="H485" s="375">
        <f t="shared" si="52"/>
        <v>0</v>
      </c>
      <c r="I485" s="376">
        <f t="shared" si="53"/>
        <v>0</v>
      </c>
      <c r="J485" s="41"/>
      <c r="K485" s="367"/>
      <c r="L485" s="520">
        <f t="shared" si="54"/>
      </c>
      <c r="M485" s="169"/>
      <c r="N485" s="199"/>
      <c r="O485" s="199"/>
    </row>
    <row r="486" spans="1:15" s="1" customFormat="1" ht="12.75">
      <c r="A486" s="224">
        <v>381834</v>
      </c>
      <c r="B486" s="9" t="s">
        <v>776</v>
      </c>
      <c r="C486" s="20"/>
      <c r="D486" s="72"/>
      <c r="E486" s="72"/>
      <c r="F486" s="95"/>
      <c r="G486" s="378">
        <f t="shared" si="51"/>
        <v>0</v>
      </c>
      <c r="H486" s="375">
        <f t="shared" si="52"/>
        <v>0</v>
      </c>
      <c r="I486" s="376">
        <f t="shared" si="53"/>
        <v>0</v>
      </c>
      <c r="J486" s="41"/>
      <c r="K486" s="367"/>
      <c r="L486" s="520">
        <f t="shared" si="54"/>
      </c>
      <c r="M486" s="169"/>
      <c r="N486" s="199"/>
      <c r="O486" s="199"/>
    </row>
    <row r="487" spans="1:15" s="1" customFormat="1" ht="12.75">
      <c r="A487" s="224">
        <v>381835</v>
      </c>
      <c r="B487" s="9" t="s">
        <v>777</v>
      </c>
      <c r="C487" s="20"/>
      <c r="D487" s="55"/>
      <c r="E487" s="72"/>
      <c r="F487" s="381">
        <f>IF(D487=0,0,+G486)</f>
        <v>0</v>
      </c>
      <c r="G487" s="378">
        <f t="shared" si="51"/>
        <v>0</v>
      </c>
      <c r="H487" s="375">
        <f t="shared" si="52"/>
        <v>0</v>
      </c>
      <c r="I487" s="376">
        <f t="shared" si="53"/>
        <v>0</v>
      </c>
      <c r="J487" s="41"/>
      <c r="K487" s="367"/>
      <c r="L487" s="520">
        <f t="shared" si="54"/>
      </c>
      <c r="M487" s="169"/>
      <c r="N487" s="199"/>
      <c r="O487" s="199"/>
    </row>
    <row r="488" spans="1:15" s="1" customFormat="1" ht="12.75">
      <c r="A488" s="224">
        <v>381890</v>
      </c>
      <c r="B488" s="12" t="s">
        <v>409</v>
      </c>
      <c r="C488" s="20"/>
      <c r="D488" s="72"/>
      <c r="E488" s="72"/>
      <c r="F488" s="98"/>
      <c r="G488" s="378">
        <f t="shared" si="51"/>
        <v>0</v>
      </c>
      <c r="H488" s="375">
        <f t="shared" si="52"/>
        <v>0</v>
      </c>
      <c r="I488" s="376">
        <f t="shared" si="53"/>
        <v>0</v>
      </c>
      <c r="J488" s="41"/>
      <c r="K488" s="367"/>
      <c r="L488" s="520">
        <f t="shared" si="54"/>
      </c>
      <c r="M488" s="169"/>
      <c r="N488" s="199"/>
      <c r="O488" s="199"/>
    </row>
    <row r="489" spans="1:15" s="1" customFormat="1" ht="12.75">
      <c r="A489" s="224">
        <v>381891</v>
      </c>
      <c r="B489" s="9" t="s">
        <v>410</v>
      </c>
      <c r="C489" s="20"/>
      <c r="D489" s="55"/>
      <c r="E489" s="72"/>
      <c r="F489" s="381">
        <f>IF(D489=0,0,+G488)</f>
        <v>0</v>
      </c>
      <c r="G489" s="378">
        <f t="shared" si="51"/>
        <v>0</v>
      </c>
      <c r="H489" s="375">
        <f t="shared" si="52"/>
        <v>0</v>
      </c>
      <c r="I489" s="376">
        <f t="shared" si="53"/>
        <v>0</v>
      </c>
      <c r="J489" s="41"/>
      <c r="K489" s="367"/>
      <c r="L489" s="520">
        <f t="shared" si="54"/>
      </c>
      <c r="M489" s="169"/>
      <c r="N489" s="199"/>
      <c r="O489" s="199"/>
    </row>
    <row r="490" spans="1:15" s="1" customFormat="1" ht="12.75">
      <c r="A490" s="224">
        <v>383722</v>
      </c>
      <c r="B490" s="9" t="s">
        <v>385</v>
      </c>
      <c r="C490" s="20"/>
      <c r="D490" s="72"/>
      <c r="E490" s="72"/>
      <c r="F490" s="95"/>
      <c r="G490" s="378">
        <f>IF(X=0,(IF(Me=0,Sa,Me*Sa)),(IF(Me=0,Sa*X,Me*X*Sa)))</f>
        <v>0</v>
      </c>
      <c r="H490" s="375">
        <f>IF(Sum,Sos,0)</f>
        <v>0</v>
      </c>
      <c r="I490" s="376">
        <f>IF(Prosent&lt;&gt;0,(Sum*Prosent)/100,0)</f>
        <v>0</v>
      </c>
      <c r="J490" s="41"/>
      <c r="K490" s="367"/>
      <c r="L490" s="520">
        <f t="shared" si="54"/>
      </c>
      <c r="M490" s="169"/>
      <c r="N490" s="199"/>
      <c r="O490" s="199"/>
    </row>
    <row r="491" spans="1:15" s="1" customFormat="1" ht="12.75">
      <c r="A491" s="224">
        <v>383723</v>
      </c>
      <c r="B491" s="12" t="s">
        <v>386</v>
      </c>
      <c r="C491" s="20"/>
      <c r="D491" s="55"/>
      <c r="E491" s="72"/>
      <c r="F491" s="381">
        <f>IF(D491=0,0,+G490)</f>
        <v>0</v>
      </c>
      <c r="G491" s="378">
        <f>IF(X=0,(IF(Me=0,Sa,Me*Sa)),(IF(Me=0,Sa*X,Me*X*Sa)))</f>
        <v>0</v>
      </c>
      <c r="H491" s="375">
        <f>IF(Sum,Sos,0)</f>
        <v>0</v>
      </c>
      <c r="I491" s="376">
        <f>IF(Prosent&lt;&gt;0,(Sum*Prosent)/100,0)</f>
        <v>0</v>
      </c>
      <c r="J491" s="41"/>
      <c r="K491" s="367"/>
      <c r="L491" s="520">
        <f t="shared" si="54"/>
      </c>
      <c r="M491" s="169"/>
      <c r="N491" s="199"/>
      <c r="O491" s="199"/>
    </row>
    <row r="492" spans="1:15" s="1" customFormat="1" ht="12.75">
      <c r="A492" s="224">
        <v>384092</v>
      </c>
      <c r="B492" s="12" t="s">
        <v>590</v>
      </c>
      <c r="C492" s="20"/>
      <c r="D492" s="72"/>
      <c r="E492" s="72"/>
      <c r="F492" s="95"/>
      <c r="G492" s="378">
        <f t="shared" si="51"/>
        <v>0</v>
      </c>
      <c r="H492" s="375">
        <f t="shared" si="52"/>
        <v>0</v>
      </c>
      <c r="I492" s="376">
        <f t="shared" si="53"/>
        <v>0</v>
      </c>
      <c r="J492" s="41"/>
      <c r="K492" s="367"/>
      <c r="L492" s="520">
        <f t="shared" si="54"/>
      </c>
      <c r="M492" s="169"/>
      <c r="N492" s="199"/>
      <c r="O492" s="199"/>
    </row>
    <row r="493" spans="1:15" s="1" customFormat="1" ht="12.75">
      <c r="A493" s="224">
        <v>384095</v>
      </c>
      <c r="B493" s="9" t="s">
        <v>554</v>
      </c>
      <c r="C493" s="20"/>
      <c r="D493" s="73"/>
      <c r="E493" s="73"/>
      <c r="F493" s="94"/>
      <c r="G493" s="384">
        <f>SUM(I472:I492)</f>
        <v>0</v>
      </c>
      <c r="H493" s="38"/>
      <c r="I493" s="39" t="s">
        <v>555</v>
      </c>
      <c r="J493" s="39"/>
      <c r="K493" s="572"/>
      <c r="L493" s="520"/>
      <c r="M493" s="169"/>
      <c r="N493" s="199"/>
      <c r="O493" s="199"/>
    </row>
    <row r="494" spans="1:15" s="1" customFormat="1" ht="12.75">
      <c r="A494" s="224">
        <v>386810</v>
      </c>
      <c r="B494" s="12" t="s">
        <v>172</v>
      </c>
      <c r="C494" s="20"/>
      <c r="D494" s="72"/>
      <c r="E494" s="72"/>
      <c r="F494" s="95"/>
      <c r="G494" s="378">
        <f aca="true" t="shared" si="55" ref="G494:G510">IF(X=0,(IF(Me=0,Sa,Me*Sa)),(IF(Me=0,Sa*X,Me*X*Sa)))</f>
        <v>0</v>
      </c>
      <c r="H494" s="38"/>
      <c r="I494" s="41"/>
      <c r="J494" s="41"/>
      <c r="K494" s="367"/>
      <c r="L494" s="520">
        <f t="shared" si="54"/>
      </c>
      <c r="M494" s="169"/>
      <c r="N494" s="199"/>
      <c r="O494" s="199"/>
    </row>
    <row r="495" spans="1:15" s="1" customFormat="1" ht="12.75">
      <c r="A495" s="224">
        <v>386812</v>
      </c>
      <c r="B495" s="9" t="s">
        <v>173</v>
      </c>
      <c r="C495" s="20"/>
      <c r="D495" s="72"/>
      <c r="E495" s="72"/>
      <c r="F495" s="95"/>
      <c r="G495" s="378">
        <f t="shared" si="55"/>
        <v>0</v>
      </c>
      <c r="H495" s="38"/>
      <c r="I495" s="41"/>
      <c r="J495" s="41"/>
      <c r="K495" s="367"/>
      <c r="L495" s="520">
        <f t="shared" si="54"/>
      </c>
      <c r="M495" s="169"/>
      <c r="N495" s="199"/>
      <c r="O495" s="199"/>
    </row>
    <row r="496" spans="1:15" s="1" customFormat="1" ht="12.75">
      <c r="A496" s="224">
        <v>386814</v>
      </c>
      <c r="B496" s="12" t="s">
        <v>174</v>
      </c>
      <c r="C496" s="20"/>
      <c r="D496" s="72"/>
      <c r="E496" s="72"/>
      <c r="F496" s="95"/>
      <c r="G496" s="378">
        <f t="shared" si="55"/>
        <v>0</v>
      </c>
      <c r="H496" s="38"/>
      <c r="I496" s="41"/>
      <c r="J496" s="41"/>
      <c r="K496" s="367"/>
      <c r="L496" s="520">
        <f t="shared" si="54"/>
      </c>
      <c r="M496" s="169"/>
      <c r="N496" s="199"/>
      <c r="O496" s="199"/>
    </row>
    <row r="497" spans="1:15" s="1" customFormat="1" ht="12.75">
      <c r="A497" s="224">
        <v>386816</v>
      </c>
      <c r="B497" s="9" t="s">
        <v>175</v>
      </c>
      <c r="C497" s="20"/>
      <c r="D497" s="72"/>
      <c r="E497" s="72"/>
      <c r="F497" s="95"/>
      <c r="G497" s="378">
        <f t="shared" si="55"/>
        <v>0</v>
      </c>
      <c r="H497" s="38"/>
      <c r="I497" s="41"/>
      <c r="J497" s="41"/>
      <c r="K497" s="367"/>
      <c r="L497" s="520">
        <f t="shared" si="54"/>
      </c>
      <c r="M497" s="169"/>
      <c r="N497" s="199"/>
      <c r="O497" s="199"/>
    </row>
    <row r="498" spans="1:15" s="1" customFormat="1" ht="12.75">
      <c r="A498" s="224">
        <v>386818</v>
      </c>
      <c r="B498" s="12" t="s">
        <v>176</v>
      </c>
      <c r="C498" s="20"/>
      <c r="D498" s="72"/>
      <c r="E498" s="72"/>
      <c r="F498" s="95"/>
      <c r="G498" s="378">
        <f t="shared" si="55"/>
        <v>0</v>
      </c>
      <c r="H498" s="38"/>
      <c r="I498" s="41"/>
      <c r="J498" s="41"/>
      <c r="K498" s="367"/>
      <c r="L498" s="520">
        <f t="shared" si="54"/>
      </c>
      <c r="M498" s="169"/>
      <c r="N498" s="199"/>
      <c r="O498" s="199"/>
    </row>
    <row r="499" spans="1:15" s="1" customFormat="1" ht="12.75">
      <c r="A499" s="224">
        <v>386820</v>
      </c>
      <c r="B499" s="9" t="s">
        <v>177</v>
      </c>
      <c r="C499" s="20"/>
      <c r="D499" s="72"/>
      <c r="E499" s="72"/>
      <c r="F499" s="95"/>
      <c r="G499" s="378">
        <f t="shared" si="55"/>
        <v>0</v>
      </c>
      <c r="H499" s="38"/>
      <c r="I499" s="41"/>
      <c r="J499" s="41"/>
      <c r="K499" s="367"/>
      <c r="L499" s="520">
        <f t="shared" si="54"/>
      </c>
      <c r="M499" s="169"/>
      <c r="N499" s="199"/>
      <c r="O499" s="199"/>
    </row>
    <row r="500" spans="1:15" s="1" customFormat="1" ht="12.75">
      <c r="A500" s="224">
        <v>386822</v>
      </c>
      <c r="B500" s="9" t="s">
        <v>178</v>
      </c>
      <c r="C500" s="20"/>
      <c r="D500" s="72"/>
      <c r="E500" s="72"/>
      <c r="F500" s="95"/>
      <c r="G500" s="378">
        <f t="shared" si="55"/>
        <v>0</v>
      </c>
      <c r="H500" s="38"/>
      <c r="I500" s="41"/>
      <c r="J500" s="41"/>
      <c r="K500" s="367"/>
      <c r="L500" s="520">
        <f t="shared" si="54"/>
      </c>
      <c r="M500" s="169"/>
      <c r="N500" s="199"/>
      <c r="O500" s="199"/>
    </row>
    <row r="501" spans="1:15" s="1" customFormat="1" ht="12.75">
      <c r="A501" s="224">
        <v>386824</v>
      </c>
      <c r="B501" s="9" t="s">
        <v>179</v>
      </c>
      <c r="C501" s="20"/>
      <c r="D501" s="72"/>
      <c r="E501" s="72"/>
      <c r="F501" s="95"/>
      <c r="G501" s="378">
        <f t="shared" si="55"/>
        <v>0</v>
      </c>
      <c r="H501" s="38"/>
      <c r="I501" s="41"/>
      <c r="J501" s="41"/>
      <c r="K501" s="367"/>
      <c r="L501" s="520">
        <f t="shared" si="54"/>
      </c>
      <c r="M501" s="169"/>
      <c r="N501" s="199"/>
      <c r="O501" s="199"/>
    </row>
    <row r="502" spans="1:15" s="1" customFormat="1" ht="12.75">
      <c r="A502" s="224">
        <v>386840</v>
      </c>
      <c r="B502" s="9" t="s">
        <v>778</v>
      </c>
      <c r="C502" s="20"/>
      <c r="D502" s="72"/>
      <c r="E502" s="72"/>
      <c r="F502" s="95"/>
      <c r="G502" s="378">
        <f t="shared" si="55"/>
        <v>0</v>
      </c>
      <c r="H502" s="38"/>
      <c r="I502" s="41"/>
      <c r="J502" s="41"/>
      <c r="K502" s="367"/>
      <c r="L502" s="520">
        <f t="shared" si="54"/>
      </c>
      <c r="M502" s="169"/>
      <c r="N502" s="199"/>
      <c r="O502" s="199"/>
    </row>
    <row r="503" spans="1:15" s="1" customFormat="1" ht="12.75">
      <c r="A503" s="224">
        <v>386850</v>
      </c>
      <c r="B503" s="9" t="s">
        <v>180</v>
      </c>
      <c r="C503" s="20"/>
      <c r="D503" s="72"/>
      <c r="E503" s="72"/>
      <c r="F503" s="95"/>
      <c r="G503" s="378">
        <f>IF(X=0,(IF(Me=0,Sa,Me*Sa)),(IF(Me=0,Sa*X,Me*X*Sa)))</f>
        <v>0</v>
      </c>
      <c r="H503" s="38"/>
      <c r="I503" s="41"/>
      <c r="J503" s="41"/>
      <c r="K503" s="367"/>
      <c r="L503" s="520">
        <f t="shared" si="54"/>
      </c>
      <c r="M503" s="169"/>
      <c r="N503" s="199"/>
      <c r="O503" s="199"/>
    </row>
    <row r="504" spans="1:15" s="1" customFormat="1" ht="12.75">
      <c r="A504" s="224">
        <v>386856</v>
      </c>
      <c r="B504" s="9" t="s">
        <v>293</v>
      </c>
      <c r="C504" s="20"/>
      <c r="D504" s="72"/>
      <c r="E504" s="72"/>
      <c r="F504" s="95"/>
      <c r="G504" s="378">
        <f>IF(X=0,(IF(Me=0,Sa,Me*Sa)),(IF(Me=0,Sa*X,Me*X*Sa)))</f>
        <v>0</v>
      </c>
      <c r="H504" s="38"/>
      <c r="I504" s="41"/>
      <c r="J504" s="41"/>
      <c r="K504" s="367"/>
      <c r="L504" s="520">
        <f t="shared" si="54"/>
      </c>
      <c r="M504" s="169"/>
      <c r="N504" s="199"/>
      <c r="O504" s="199"/>
    </row>
    <row r="505" spans="1:15" s="1" customFormat="1" ht="12.75">
      <c r="A505" s="224">
        <v>388712</v>
      </c>
      <c r="B505" s="12" t="s">
        <v>387</v>
      </c>
      <c r="C505" s="20"/>
      <c r="D505" s="72"/>
      <c r="E505" s="72"/>
      <c r="F505" s="95"/>
      <c r="G505" s="378">
        <f t="shared" si="55"/>
        <v>0</v>
      </c>
      <c r="H505" s="38"/>
      <c r="I505" s="41"/>
      <c r="J505" s="41"/>
      <c r="K505" s="367"/>
      <c r="L505" s="520">
        <f t="shared" si="54"/>
      </c>
      <c r="M505" s="169"/>
      <c r="N505" s="199"/>
      <c r="O505" s="199"/>
    </row>
    <row r="506" spans="1:15" s="1" customFormat="1" ht="12.75">
      <c r="A506" s="224">
        <v>389011</v>
      </c>
      <c r="B506" s="9" t="s">
        <v>11</v>
      </c>
      <c r="C506" s="20"/>
      <c r="D506" s="72"/>
      <c r="E506" s="72"/>
      <c r="F506" s="95"/>
      <c r="G506" s="378">
        <f t="shared" si="55"/>
        <v>0</v>
      </c>
      <c r="H506" s="38"/>
      <c r="I506" s="41"/>
      <c r="J506" s="41"/>
      <c r="K506" s="367"/>
      <c r="L506" s="520">
        <f t="shared" si="54"/>
      </c>
      <c r="M506" s="169"/>
      <c r="N506" s="199"/>
      <c r="O506" s="199"/>
    </row>
    <row r="507" spans="1:15" s="1" customFormat="1" ht="12.75">
      <c r="A507" s="224">
        <v>389027</v>
      </c>
      <c r="B507" s="9" t="s">
        <v>15</v>
      </c>
      <c r="C507" s="20"/>
      <c r="D507" s="72"/>
      <c r="E507" s="72"/>
      <c r="F507" s="95"/>
      <c r="G507" s="378">
        <f t="shared" si="55"/>
        <v>0</v>
      </c>
      <c r="H507" s="38"/>
      <c r="I507" s="41"/>
      <c r="J507" s="41"/>
      <c r="K507" s="367"/>
      <c r="L507" s="520">
        <f t="shared" si="54"/>
      </c>
      <c r="M507" s="169"/>
      <c r="N507" s="199"/>
      <c r="O507" s="199"/>
    </row>
    <row r="508" spans="1:15" s="1" customFormat="1" ht="12.75">
      <c r="A508" s="224">
        <v>389050</v>
      </c>
      <c r="B508" s="9" t="s">
        <v>17</v>
      </c>
      <c r="C508" s="20"/>
      <c r="D508" s="72"/>
      <c r="E508" s="72"/>
      <c r="F508" s="95"/>
      <c r="G508" s="378">
        <f t="shared" si="55"/>
        <v>0</v>
      </c>
      <c r="H508" s="38"/>
      <c r="I508" s="41"/>
      <c r="J508" s="41"/>
      <c r="K508" s="367"/>
      <c r="L508" s="520">
        <f t="shared" si="54"/>
      </c>
      <c r="M508" s="169"/>
      <c r="N508" s="199"/>
      <c r="O508" s="199"/>
    </row>
    <row r="509" spans="1:15" s="1" customFormat="1" ht="12.75">
      <c r="A509" s="224">
        <v>389064</v>
      </c>
      <c r="B509" s="9" t="s">
        <v>21</v>
      </c>
      <c r="C509" s="20"/>
      <c r="D509" s="72"/>
      <c r="E509" s="72"/>
      <c r="F509" s="95"/>
      <c r="G509" s="378">
        <f t="shared" si="55"/>
        <v>0</v>
      </c>
      <c r="H509" s="38"/>
      <c r="I509" s="41"/>
      <c r="J509" s="41"/>
      <c r="K509" s="367"/>
      <c r="L509" s="520">
        <f t="shared" si="54"/>
      </c>
      <c r="M509" s="169"/>
      <c r="N509" s="199"/>
      <c r="O509" s="199"/>
    </row>
    <row r="510" spans="1:15" s="1" customFormat="1" ht="12.75">
      <c r="A510" s="224">
        <v>389069</v>
      </c>
      <c r="B510" s="218" t="s">
        <v>564</v>
      </c>
      <c r="C510" s="219" t="s">
        <v>416</v>
      </c>
      <c r="D510" s="220"/>
      <c r="E510" s="220"/>
      <c r="F510" s="221"/>
      <c r="G510" s="379">
        <f t="shared" si="55"/>
        <v>0</v>
      </c>
      <c r="H510" s="38"/>
      <c r="I510" s="41"/>
      <c r="J510" s="41"/>
      <c r="K510" s="367"/>
      <c r="L510" s="520">
        <f t="shared" si="54"/>
      </c>
      <c r="M510" s="169"/>
      <c r="N510" s="199"/>
      <c r="O510" s="199"/>
    </row>
    <row r="511" spans="1:15" s="1" customFormat="1" ht="13.5" thickBot="1">
      <c r="A511" s="231" t="s">
        <v>401</v>
      </c>
      <c r="B511" s="6"/>
      <c r="C511" s="22"/>
      <c r="D511" s="44"/>
      <c r="E511" s="71"/>
      <c r="F511" s="90" t="s">
        <v>570</v>
      </c>
      <c r="G511" s="383">
        <f>SUM(G472:G510)</f>
        <v>0</v>
      </c>
      <c r="H511" s="38"/>
      <c r="I511" s="44"/>
      <c r="J511" s="44"/>
      <c r="K511" s="366"/>
      <c r="L511" s="383">
        <f>SUM(L472:L510)</f>
        <v>0</v>
      </c>
      <c r="M511" s="169"/>
      <c r="N511" s="199"/>
      <c r="O511" s="199"/>
    </row>
    <row r="512" spans="1:15" s="1" customFormat="1" ht="0.75" customHeight="1" thickTop="1">
      <c r="A512" s="226"/>
      <c r="C512" s="21"/>
      <c r="D512" s="44"/>
      <c r="E512" s="71"/>
      <c r="F512" s="90"/>
      <c r="G512" s="41"/>
      <c r="H512" s="38"/>
      <c r="I512" s="41"/>
      <c r="J512" s="41"/>
      <c r="K512" s="366"/>
      <c r="L512" s="516"/>
      <c r="M512" s="169"/>
      <c r="N512" s="199"/>
      <c r="O512" s="199"/>
    </row>
    <row r="513" spans="1:15" s="1" customFormat="1" ht="24.75" customHeight="1" thickTop="1">
      <c r="A513" s="228" t="s">
        <v>527</v>
      </c>
      <c r="B513" s="2"/>
      <c r="C513" s="21"/>
      <c r="D513" s="171" t="s">
        <v>422</v>
      </c>
      <c r="E513" s="172" t="s">
        <v>423</v>
      </c>
      <c r="F513" s="171" t="s">
        <v>424</v>
      </c>
      <c r="G513" s="171" t="s">
        <v>425</v>
      </c>
      <c r="H513" s="171" t="s">
        <v>426</v>
      </c>
      <c r="I513" s="173" t="s">
        <v>427</v>
      </c>
      <c r="J513" s="173"/>
      <c r="K513" s="366"/>
      <c r="L513" s="518" t="s">
        <v>688</v>
      </c>
      <c r="M513" s="169"/>
      <c r="N513" s="199"/>
      <c r="O513" s="199"/>
    </row>
    <row r="514" spans="1:15" s="1" customFormat="1" ht="12.75">
      <c r="A514" s="224">
        <v>391910</v>
      </c>
      <c r="B514" s="9" t="s">
        <v>182</v>
      </c>
      <c r="C514" s="20"/>
      <c r="D514" s="72"/>
      <c r="E514" s="72"/>
      <c r="F514" s="95"/>
      <c r="G514" s="377">
        <f aca="true" t="shared" si="56" ref="G514:G524">IF(X=0,(IF(Me=0,Sa,Me*Sa)),(IF(Me=0,Sa*X,Me*X*Sa)))</f>
        <v>0</v>
      </c>
      <c r="H514" s="375">
        <f aca="true" t="shared" si="57" ref="H514:H524">IF(Sum,Sos,0)</f>
        <v>0</v>
      </c>
      <c r="I514" s="376">
        <f aca="true" t="shared" si="58" ref="I514:I524">IF(Prosent&lt;&gt;0,(Sum*Prosent)/100,0)</f>
        <v>0</v>
      </c>
      <c r="J514" s="41"/>
      <c r="K514" s="367"/>
      <c r="L514" s="520">
        <f aca="true" t="shared" si="59" ref="L514:L537">IF(FMVA&lt;&gt;"",(Sum*mva)-Sum,"")</f>
      </c>
      <c r="M514" s="169"/>
      <c r="N514" s="199"/>
      <c r="O514" s="199"/>
    </row>
    <row r="515" spans="1:15" s="1" customFormat="1" ht="12.75">
      <c r="A515" s="224">
        <v>391911</v>
      </c>
      <c r="B515" s="12" t="s">
        <v>183</v>
      </c>
      <c r="C515" s="20"/>
      <c r="D515" s="55"/>
      <c r="E515" s="72"/>
      <c r="F515" s="381">
        <f>IF(D515=0,0,+G514)</f>
        <v>0</v>
      </c>
      <c r="G515" s="378">
        <f t="shared" si="56"/>
        <v>0</v>
      </c>
      <c r="H515" s="375">
        <f t="shared" si="57"/>
        <v>0</v>
      </c>
      <c r="I515" s="376">
        <f t="shared" si="58"/>
        <v>0</v>
      </c>
      <c r="J515" s="41"/>
      <c r="K515" s="367"/>
      <c r="L515" s="520">
        <f t="shared" si="59"/>
      </c>
      <c r="M515" s="169"/>
      <c r="N515" s="199"/>
      <c r="O515" s="199"/>
    </row>
    <row r="516" spans="1:15" s="1" customFormat="1" ht="12.75">
      <c r="A516" s="224">
        <v>391920</v>
      </c>
      <c r="B516" s="9" t="s">
        <v>184</v>
      </c>
      <c r="C516" s="20"/>
      <c r="D516" s="72"/>
      <c r="E516" s="72"/>
      <c r="F516" s="95"/>
      <c r="G516" s="378">
        <f t="shared" si="56"/>
        <v>0</v>
      </c>
      <c r="H516" s="375">
        <f t="shared" si="57"/>
        <v>0</v>
      </c>
      <c r="I516" s="376">
        <f t="shared" si="58"/>
        <v>0</v>
      </c>
      <c r="J516" s="41"/>
      <c r="K516" s="367"/>
      <c r="L516" s="520">
        <f t="shared" si="59"/>
      </c>
      <c r="M516" s="169"/>
      <c r="N516" s="199"/>
      <c r="O516" s="199"/>
    </row>
    <row r="517" spans="1:15" s="1" customFormat="1" ht="12.75">
      <c r="A517" s="224">
        <v>391921</v>
      </c>
      <c r="B517" s="12" t="s">
        <v>185</v>
      </c>
      <c r="C517" s="20"/>
      <c r="D517" s="55"/>
      <c r="E517" s="72"/>
      <c r="F517" s="381">
        <f>IF(D517=0,0,+G516)</f>
        <v>0</v>
      </c>
      <c r="G517" s="378">
        <f t="shared" si="56"/>
        <v>0</v>
      </c>
      <c r="H517" s="375">
        <f t="shared" si="57"/>
        <v>0</v>
      </c>
      <c r="I517" s="376">
        <f t="shared" si="58"/>
        <v>0</v>
      </c>
      <c r="J517" s="41"/>
      <c r="K517" s="367"/>
      <c r="L517" s="520">
        <f t="shared" si="59"/>
      </c>
      <c r="M517" s="169"/>
      <c r="N517" s="199"/>
      <c r="O517" s="199"/>
    </row>
    <row r="518" spans="1:15" s="1" customFormat="1" ht="12.75">
      <c r="A518" s="224">
        <v>391930</v>
      </c>
      <c r="B518" s="9" t="s">
        <v>186</v>
      </c>
      <c r="C518" s="20"/>
      <c r="D518" s="72"/>
      <c r="E518" s="72"/>
      <c r="F518" s="95"/>
      <c r="G518" s="378">
        <f t="shared" si="56"/>
        <v>0</v>
      </c>
      <c r="H518" s="375">
        <f t="shared" si="57"/>
        <v>0</v>
      </c>
      <c r="I518" s="376">
        <f t="shared" si="58"/>
        <v>0</v>
      </c>
      <c r="J518" s="41"/>
      <c r="K518" s="367"/>
      <c r="L518" s="520">
        <f t="shared" si="59"/>
      </c>
      <c r="M518" s="169"/>
      <c r="N518" s="199"/>
      <c r="O518" s="199"/>
    </row>
    <row r="519" spans="1:15" s="1" customFormat="1" ht="12.75">
      <c r="A519" s="224">
        <v>391931</v>
      </c>
      <c r="B519" s="12" t="s">
        <v>187</v>
      </c>
      <c r="C519" s="20"/>
      <c r="D519" s="55"/>
      <c r="E519" s="72"/>
      <c r="F519" s="381">
        <f>IF(D519=0,0,+G518)</f>
        <v>0</v>
      </c>
      <c r="G519" s="378">
        <f t="shared" si="56"/>
        <v>0</v>
      </c>
      <c r="H519" s="375">
        <f t="shared" si="57"/>
        <v>0</v>
      </c>
      <c r="I519" s="376">
        <f t="shared" si="58"/>
        <v>0</v>
      </c>
      <c r="J519" s="41"/>
      <c r="K519" s="367"/>
      <c r="L519" s="520">
        <f t="shared" si="59"/>
      </c>
      <c r="M519" s="169"/>
      <c r="N519" s="199"/>
      <c r="O519" s="199"/>
    </row>
    <row r="520" spans="1:15" s="1" customFormat="1" ht="12.75">
      <c r="A520" s="224">
        <v>391940</v>
      </c>
      <c r="B520" s="9" t="s">
        <v>188</v>
      </c>
      <c r="C520" s="20"/>
      <c r="D520" s="72"/>
      <c r="E520" s="72"/>
      <c r="F520" s="95"/>
      <c r="G520" s="378">
        <f t="shared" si="56"/>
        <v>0</v>
      </c>
      <c r="H520" s="375">
        <f t="shared" si="57"/>
        <v>0</v>
      </c>
      <c r="I520" s="376">
        <f t="shared" si="58"/>
        <v>0</v>
      </c>
      <c r="J520" s="41"/>
      <c r="K520" s="367"/>
      <c r="L520" s="520">
        <f t="shared" si="59"/>
      </c>
      <c r="M520" s="169"/>
      <c r="N520" s="199"/>
      <c r="O520" s="199"/>
    </row>
    <row r="521" spans="1:15" s="1" customFormat="1" ht="12.75">
      <c r="A521" s="224">
        <v>391941</v>
      </c>
      <c r="B521" s="12" t="s">
        <v>189</v>
      </c>
      <c r="C521" s="20"/>
      <c r="D521" s="55"/>
      <c r="E521" s="72"/>
      <c r="F521" s="381">
        <f>IF(D521=0,0,+G520)</f>
        <v>0</v>
      </c>
      <c r="G521" s="378">
        <f t="shared" si="56"/>
        <v>0</v>
      </c>
      <c r="H521" s="375">
        <f t="shared" si="57"/>
        <v>0</v>
      </c>
      <c r="I521" s="376">
        <f t="shared" si="58"/>
        <v>0</v>
      </c>
      <c r="J521" s="41"/>
      <c r="K521" s="367"/>
      <c r="L521" s="520">
        <f t="shared" si="59"/>
      </c>
      <c r="M521" s="169"/>
      <c r="N521" s="199"/>
      <c r="O521" s="199"/>
    </row>
    <row r="522" spans="1:15" s="1" customFormat="1" ht="12.75">
      <c r="A522" s="224">
        <v>391990</v>
      </c>
      <c r="B522" s="9" t="s">
        <v>190</v>
      </c>
      <c r="C522" s="20"/>
      <c r="D522" s="72"/>
      <c r="E522" s="72"/>
      <c r="F522" s="95"/>
      <c r="G522" s="378">
        <f t="shared" si="56"/>
        <v>0</v>
      </c>
      <c r="H522" s="375">
        <f t="shared" si="57"/>
        <v>0</v>
      </c>
      <c r="I522" s="376">
        <f t="shared" si="58"/>
        <v>0</v>
      </c>
      <c r="J522" s="41"/>
      <c r="K522" s="367"/>
      <c r="L522" s="520">
        <f t="shared" si="59"/>
      </c>
      <c r="M522" s="169"/>
      <c r="N522" s="199"/>
      <c r="O522" s="199"/>
    </row>
    <row r="523" spans="1:15" s="1" customFormat="1" ht="12.75">
      <c r="A523" s="224">
        <v>391991</v>
      </c>
      <c r="B523" s="9" t="s">
        <v>191</v>
      </c>
      <c r="C523" s="20"/>
      <c r="D523" s="55"/>
      <c r="E523" s="72"/>
      <c r="F523" s="381">
        <f>IF(D523=0,0,+G522)</f>
        <v>0</v>
      </c>
      <c r="G523" s="378">
        <f t="shared" si="56"/>
        <v>0</v>
      </c>
      <c r="H523" s="375">
        <f t="shared" si="57"/>
        <v>0</v>
      </c>
      <c r="I523" s="376">
        <f t="shared" si="58"/>
        <v>0</v>
      </c>
      <c r="J523" s="41"/>
      <c r="K523" s="367"/>
      <c r="L523" s="520">
        <f t="shared" si="59"/>
      </c>
      <c r="M523" s="169"/>
      <c r="N523" s="199"/>
      <c r="O523" s="199"/>
    </row>
    <row r="524" spans="1:15" s="1" customFormat="1" ht="12.75">
      <c r="A524" s="224">
        <v>394092</v>
      </c>
      <c r="B524" s="9" t="s">
        <v>590</v>
      </c>
      <c r="C524" s="20"/>
      <c r="D524" s="72"/>
      <c r="E524" s="72"/>
      <c r="F524" s="95"/>
      <c r="G524" s="378">
        <f t="shared" si="56"/>
        <v>0</v>
      </c>
      <c r="H524" s="375">
        <f t="shared" si="57"/>
        <v>0</v>
      </c>
      <c r="I524" s="376">
        <f t="shared" si="58"/>
        <v>0</v>
      </c>
      <c r="J524" s="41"/>
      <c r="K524" s="367"/>
      <c r="L524" s="520">
        <f t="shared" si="59"/>
      </c>
      <c r="M524" s="169"/>
      <c r="N524" s="199"/>
      <c r="O524" s="199"/>
    </row>
    <row r="525" spans="1:15" s="1" customFormat="1" ht="12.75">
      <c r="A525" s="224">
        <v>394095</v>
      </c>
      <c r="B525" s="9" t="s">
        <v>554</v>
      </c>
      <c r="C525" s="20"/>
      <c r="D525" s="73"/>
      <c r="E525" s="73"/>
      <c r="F525" s="94"/>
      <c r="G525" s="384">
        <f>SUM(I514:I524)</f>
        <v>0</v>
      </c>
      <c r="H525" s="38"/>
      <c r="I525" s="39" t="s">
        <v>555</v>
      </c>
      <c r="J525" s="39"/>
      <c r="K525" s="572"/>
      <c r="L525" s="520"/>
      <c r="M525" s="169"/>
      <c r="N525" s="199"/>
      <c r="O525" s="199"/>
    </row>
    <row r="526" spans="1:15" s="1" customFormat="1" ht="12.75">
      <c r="A526" s="224">
        <v>396910</v>
      </c>
      <c r="B526" s="9" t="s">
        <v>192</v>
      </c>
      <c r="C526" s="20"/>
      <c r="D526" s="72"/>
      <c r="E526" s="72"/>
      <c r="F526" s="95"/>
      <c r="G526" s="378">
        <f aca="true" t="shared" si="60" ref="G526:G537">IF(X=0,(IF(Me=0,Sa,Me*Sa)),(IF(Me=0,Sa*X,Me*X*Sa)))</f>
        <v>0</v>
      </c>
      <c r="H526" s="38"/>
      <c r="I526" s="41"/>
      <c r="J526" s="41"/>
      <c r="K526" s="367"/>
      <c r="L526" s="520">
        <f t="shared" si="59"/>
      </c>
      <c r="M526" s="169"/>
      <c r="N526" s="199"/>
      <c r="O526" s="199"/>
    </row>
    <row r="527" spans="1:15" s="1" customFormat="1" ht="12.75">
      <c r="A527" s="224">
        <v>396920</v>
      </c>
      <c r="B527" s="9" t="s">
        <v>193</v>
      </c>
      <c r="C527" s="20"/>
      <c r="D527" s="72"/>
      <c r="E527" s="72"/>
      <c r="F527" s="95"/>
      <c r="G527" s="378">
        <f t="shared" si="60"/>
        <v>0</v>
      </c>
      <c r="H527" s="38"/>
      <c r="I527" s="41"/>
      <c r="J527" s="41"/>
      <c r="K527" s="367"/>
      <c r="L527" s="520">
        <f t="shared" si="59"/>
      </c>
      <c r="M527" s="169"/>
      <c r="N527" s="199"/>
      <c r="O527" s="199"/>
    </row>
    <row r="528" spans="1:15" s="1" customFormat="1" ht="12.75">
      <c r="A528" s="224">
        <v>396921</v>
      </c>
      <c r="B528" s="12" t="s">
        <v>194</v>
      </c>
      <c r="C528" s="20"/>
      <c r="D528" s="72"/>
      <c r="E528" s="72"/>
      <c r="F528" s="95"/>
      <c r="G528" s="378">
        <f t="shared" si="60"/>
        <v>0</v>
      </c>
      <c r="H528" s="38"/>
      <c r="I528" s="41"/>
      <c r="J528" s="41"/>
      <c r="K528" s="367"/>
      <c r="L528" s="520">
        <f t="shared" si="59"/>
      </c>
      <c r="M528" s="169"/>
      <c r="N528" s="199"/>
      <c r="O528" s="199"/>
    </row>
    <row r="529" spans="1:15" s="1" customFormat="1" ht="12.75">
      <c r="A529" s="224">
        <v>396930</v>
      </c>
      <c r="B529" s="9" t="s">
        <v>195</v>
      </c>
      <c r="C529" s="20"/>
      <c r="D529" s="72"/>
      <c r="E529" s="72"/>
      <c r="F529" s="95"/>
      <c r="G529" s="378">
        <f t="shared" si="60"/>
        <v>0</v>
      </c>
      <c r="H529" s="38"/>
      <c r="I529" s="41"/>
      <c r="J529" s="41"/>
      <c r="K529" s="367"/>
      <c r="L529" s="520">
        <f t="shared" si="59"/>
      </c>
      <c r="M529" s="169"/>
      <c r="N529" s="199"/>
      <c r="O529" s="199"/>
    </row>
    <row r="530" spans="1:15" s="1" customFormat="1" ht="12.75">
      <c r="A530" s="224">
        <v>396931</v>
      </c>
      <c r="B530" s="12" t="s">
        <v>196</v>
      </c>
      <c r="C530" s="20"/>
      <c r="D530" s="72"/>
      <c r="E530" s="72"/>
      <c r="F530" s="95"/>
      <c r="G530" s="378">
        <f t="shared" si="60"/>
        <v>0</v>
      </c>
      <c r="H530" s="38"/>
      <c r="I530" s="41"/>
      <c r="J530" s="41"/>
      <c r="K530" s="367"/>
      <c r="L530" s="520">
        <f t="shared" si="59"/>
      </c>
      <c r="M530" s="169"/>
      <c r="N530" s="199"/>
      <c r="O530" s="199"/>
    </row>
    <row r="531" spans="1:15" s="1" customFormat="1" ht="12.75">
      <c r="A531" s="224">
        <v>396939</v>
      </c>
      <c r="B531" s="9" t="s">
        <v>197</v>
      </c>
      <c r="C531" s="20"/>
      <c r="D531" s="72"/>
      <c r="E531" s="72"/>
      <c r="F531" s="95"/>
      <c r="G531" s="378">
        <f t="shared" si="60"/>
        <v>0</v>
      </c>
      <c r="H531" s="38"/>
      <c r="I531" s="41"/>
      <c r="J531" s="41"/>
      <c r="K531" s="367"/>
      <c r="L531" s="520">
        <f t="shared" si="59"/>
      </c>
      <c r="M531" s="169"/>
      <c r="N531" s="199"/>
      <c r="O531" s="199"/>
    </row>
    <row r="532" spans="1:15" s="1" customFormat="1" ht="12.75">
      <c r="A532" s="224">
        <v>396940</v>
      </c>
      <c r="B532" s="12" t="s">
        <v>198</v>
      </c>
      <c r="C532" s="20"/>
      <c r="D532" s="72"/>
      <c r="E532" s="72"/>
      <c r="F532" s="95"/>
      <c r="G532" s="378">
        <f t="shared" si="60"/>
        <v>0</v>
      </c>
      <c r="H532" s="38"/>
      <c r="I532" s="41"/>
      <c r="J532" s="41"/>
      <c r="K532" s="367"/>
      <c r="L532" s="520">
        <f t="shared" si="59"/>
      </c>
      <c r="M532" s="169"/>
      <c r="N532" s="199"/>
      <c r="O532" s="199"/>
    </row>
    <row r="533" spans="1:15" s="1" customFormat="1" ht="12.75">
      <c r="A533" s="224">
        <v>396941</v>
      </c>
      <c r="B533" s="9" t="s">
        <v>743</v>
      </c>
      <c r="C533" s="20"/>
      <c r="D533" s="72"/>
      <c r="E533" s="72"/>
      <c r="F533" s="95"/>
      <c r="G533" s="378">
        <f t="shared" si="60"/>
        <v>0</v>
      </c>
      <c r="H533" s="38"/>
      <c r="I533" s="41"/>
      <c r="J533" s="41"/>
      <c r="K533" s="367"/>
      <c r="L533" s="520">
        <f t="shared" si="59"/>
      </c>
      <c r="M533" s="169"/>
      <c r="N533" s="199"/>
      <c r="O533" s="199"/>
    </row>
    <row r="534" spans="1:15" s="1" customFormat="1" ht="12.75">
      <c r="A534" s="224">
        <v>399027</v>
      </c>
      <c r="B534" s="9" t="s">
        <v>15</v>
      </c>
      <c r="C534" s="20"/>
      <c r="D534" s="72"/>
      <c r="E534" s="72"/>
      <c r="F534" s="95"/>
      <c r="G534" s="378">
        <f t="shared" si="60"/>
        <v>0</v>
      </c>
      <c r="H534" s="38"/>
      <c r="I534" s="41"/>
      <c r="J534" s="41"/>
      <c r="K534" s="367"/>
      <c r="L534" s="520">
        <f t="shared" si="59"/>
      </c>
      <c r="M534" s="169"/>
      <c r="N534" s="199"/>
      <c r="O534" s="199"/>
    </row>
    <row r="535" spans="1:15" s="1" customFormat="1" ht="12.75">
      <c r="A535" s="224">
        <v>399050</v>
      </c>
      <c r="B535" s="12" t="s">
        <v>17</v>
      </c>
      <c r="C535" s="20"/>
      <c r="D535" s="72"/>
      <c r="E535" s="72"/>
      <c r="F535" s="95"/>
      <c r="G535" s="378">
        <f t="shared" si="60"/>
        <v>0</v>
      </c>
      <c r="H535" s="38"/>
      <c r="I535" s="41"/>
      <c r="J535" s="41"/>
      <c r="K535" s="367"/>
      <c r="L535" s="520">
        <f t="shared" si="59"/>
      </c>
      <c r="M535" s="169"/>
      <c r="N535" s="199"/>
      <c r="O535" s="199"/>
    </row>
    <row r="536" spans="1:15" s="1" customFormat="1" ht="12.75">
      <c r="A536" s="224">
        <v>399064</v>
      </c>
      <c r="B536" s="9" t="s">
        <v>21</v>
      </c>
      <c r="C536" s="20"/>
      <c r="D536" s="72"/>
      <c r="E536" s="72"/>
      <c r="F536" s="95"/>
      <c r="G536" s="378">
        <f t="shared" si="60"/>
        <v>0</v>
      </c>
      <c r="H536" s="38"/>
      <c r="I536" s="41"/>
      <c r="J536" s="41"/>
      <c r="K536" s="367"/>
      <c r="L536" s="520">
        <f t="shared" si="59"/>
      </c>
      <c r="M536" s="169"/>
      <c r="N536" s="199"/>
      <c r="O536" s="199"/>
    </row>
    <row r="537" spans="1:15" s="1" customFormat="1" ht="12.75">
      <c r="A537" s="224">
        <v>399069</v>
      </c>
      <c r="B537" s="218" t="s">
        <v>564</v>
      </c>
      <c r="C537" s="219" t="s">
        <v>416</v>
      </c>
      <c r="D537" s="220"/>
      <c r="E537" s="220"/>
      <c r="F537" s="221"/>
      <c r="G537" s="379">
        <f t="shared" si="60"/>
        <v>0</v>
      </c>
      <c r="H537" s="38"/>
      <c r="I537" s="41"/>
      <c r="J537" s="41"/>
      <c r="K537" s="367"/>
      <c r="L537" s="520">
        <f t="shared" si="59"/>
      </c>
      <c r="M537" s="169"/>
      <c r="N537" s="199"/>
      <c r="O537" s="199"/>
    </row>
    <row r="538" spans="1:15" s="1" customFormat="1" ht="13.5" thickBot="1">
      <c r="A538" s="231" t="s">
        <v>401</v>
      </c>
      <c r="B538" s="6"/>
      <c r="C538" s="22"/>
      <c r="D538" s="44"/>
      <c r="E538" s="71"/>
      <c r="F538" s="90" t="s">
        <v>570</v>
      </c>
      <c r="G538" s="383">
        <f>SUM(G514:G537)</f>
        <v>0</v>
      </c>
      <c r="H538" s="38"/>
      <c r="I538" s="44"/>
      <c r="J538" s="44"/>
      <c r="K538" s="366"/>
      <c r="L538" s="383">
        <f>SUM(L514:L537)</f>
        <v>0</v>
      </c>
      <c r="M538" s="169"/>
      <c r="N538" s="199"/>
      <c r="O538" s="199"/>
    </row>
    <row r="539" spans="1:15" s="1" customFormat="1" ht="0.75" customHeight="1" thickTop="1">
      <c r="A539" s="226"/>
      <c r="C539" s="21"/>
      <c r="D539" s="44"/>
      <c r="E539" s="71"/>
      <c r="F539" s="90"/>
      <c r="G539" s="41"/>
      <c r="H539" s="38"/>
      <c r="I539" s="41"/>
      <c r="J539" s="41"/>
      <c r="K539" s="366"/>
      <c r="L539" s="516"/>
      <c r="M539" s="169"/>
      <c r="N539" s="199"/>
      <c r="O539" s="199"/>
    </row>
    <row r="540" spans="1:15" s="1" customFormat="1" ht="24.75" customHeight="1" thickTop="1">
      <c r="A540" s="228" t="s">
        <v>528</v>
      </c>
      <c r="B540" s="2"/>
      <c r="C540" s="21"/>
      <c r="D540" s="171" t="s">
        <v>422</v>
      </c>
      <c r="E540" s="172" t="s">
        <v>423</v>
      </c>
      <c r="F540" s="171" t="s">
        <v>424</v>
      </c>
      <c r="G540" s="171" t="s">
        <v>425</v>
      </c>
      <c r="H540" s="171" t="s">
        <v>426</v>
      </c>
      <c r="I540" s="173" t="s">
        <v>427</v>
      </c>
      <c r="J540" s="173"/>
      <c r="K540" s="366"/>
      <c r="L540" s="518" t="s">
        <v>688</v>
      </c>
      <c r="M540" s="169"/>
      <c r="N540" s="199"/>
      <c r="O540" s="199"/>
    </row>
    <row r="541" spans="1:15" s="1" customFormat="1" ht="12.75">
      <c r="A541" s="224">
        <v>402010</v>
      </c>
      <c r="B541" s="9" t="s">
        <v>199</v>
      </c>
      <c r="C541" s="20"/>
      <c r="D541" s="72"/>
      <c r="E541" s="72"/>
      <c r="F541" s="95"/>
      <c r="G541" s="377">
        <f aca="true" t="shared" si="61" ref="G541:G547">IF(X=0,(IF(Me=0,Sa,Me*Sa)),(IF(Me=0,Sa*X,Me*X*Sa)))</f>
        <v>0</v>
      </c>
      <c r="H541" s="375">
        <f aca="true" t="shared" si="62" ref="H541:H547">IF(Sum,Sos,0)</f>
        <v>0</v>
      </c>
      <c r="I541" s="376">
        <f aca="true" t="shared" si="63" ref="I541:I547">IF(Prosent&lt;&gt;0,(Sum*Prosent)/100,0)</f>
        <v>0</v>
      </c>
      <c r="J541" s="41"/>
      <c r="K541" s="367"/>
      <c r="L541" s="520">
        <f aca="true" t="shared" si="64" ref="L541:L558">IF(FMVA&lt;&gt;"",(Sum*mva)-Sum,"")</f>
      </c>
      <c r="M541" s="169"/>
      <c r="N541" s="199"/>
      <c r="O541" s="199"/>
    </row>
    <row r="542" spans="1:15" s="1" customFormat="1" ht="12.75">
      <c r="A542" s="224">
        <v>402011</v>
      </c>
      <c r="B542" s="12" t="s">
        <v>201</v>
      </c>
      <c r="C542" s="20"/>
      <c r="D542" s="55"/>
      <c r="E542" s="72"/>
      <c r="F542" s="381">
        <f>IF(D542=0,0,+G541)</f>
        <v>0</v>
      </c>
      <c r="G542" s="378">
        <f t="shared" si="61"/>
        <v>0</v>
      </c>
      <c r="H542" s="375">
        <f t="shared" si="62"/>
        <v>0</v>
      </c>
      <c r="I542" s="376">
        <f t="shared" si="63"/>
        <v>0</v>
      </c>
      <c r="J542" s="41"/>
      <c r="K542" s="367"/>
      <c r="L542" s="520">
        <f t="shared" si="64"/>
      </c>
      <c r="M542" s="169"/>
      <c r="N542" s="199"/>
      <c r="O542" s="199"/>
    </row>
    <row r="543" spans="1:15" s="1" customFormat="1" ht="12.75">
      <c r="A543" s="224">
        <v>402020</v>
      </c>
      <c r="B543" s="9" t="s">
        <v>202</v>
      </c>
      <c r="C543" s="20"/>
      <c r="D543" s="72"/>
      <c r="E543" s="72"/>
      <c r="F543" s="95"/>
      <c r="G543" s="378">
        <f t="shared" si="61"/>
        <v>0</v>
      </c>
      <c r="H543" s="375">
        <f t="shared" si="62"/>
        <v>0</v>
      </c>
      <c r="I543" s="376">
        <f t="shared" si="63"/>
        <v>0</v>
      </c>
      <c r="J543" s="41"/>
      <c r="K543" s="367"/>
      <c r="L543" s="520">
        <f t="shared" si="64"/>
      </c>
      <c r="M543" s="169"/>
      <c r="N543" s="199"/>
      <c r="O543" s="199"/>
    </row>
    <row r="544" spans="1:15" s="1" customFormat="1" ht="12.75">
      <c r="A544" s="224">
        <v>402021</v>
      </c>
      <c r="B544" s="12" t="s">
        <v>203</v>
      </c>
      <c r="C544" s="20"/>
      <c r="D544" s="55"/>
      <c r="E544" s="72"/>
      <c r="F544" s="381">
        <f>IF(D544=0,0,+G543)</f>
        <v>0</v>
      </c>
      <c r="G544" s="378">
        <f t="shared" si="61"/>
        <v>0</v>
      </c>
      <c r="H544" s="375">
        <f t="shared" si="62"/>
        <v>0</v>
      </c>
      <c r="I544" s="376">
        <f t="shared" si="63"/>
        <v>0</v>
      </c>
      <c r="J544" s="41"/>
      <c r="K544" s="367"/>
      <c r="L544" s="520">
        <f t="shared" si="64"/>
      </c>
      <c r="M544" s="169"/>
      <c r="N544" s="199"/>
      <c r="O544" s="199"/>
    </row>
    <row r="545" spans="1:15" s="1" customFormat="1" ht="12.75">
      <c r="A545" s="224">
        <v>402090</v>
      </c>
      <c r="B545" s="12" t="s">
        <v>204</v>
      </c>
      <c r="C545" s="20"/>
      <c r="D545" s="72"/>
      <c r="E545" s="72"/>
      <c r="F545" s="95"/>
      <c r="G545" s="378">
        <f t="shared" si="61"/>
        <v>0</v>
      </c>
      <c r="H545" s="375">
        <f t="shared" si="62"/>
        <v>0</v>
      </c>
      <c r="I545" s="376">
        <f t="shared" si="63"/>
        <v>0</v>
      </c>
      <c r="J545" s="41"/>
      <c r="K545" s="367"/>
      <c r="L545" s="520">
        <f t="shared" si="64"/>
      </c>
      <c r="M545" s="169"/>
      <c r="N545" s="199"/>
      <c r="O545" s="199"/>
    </row>
    <row r="546" spans="1:15" s="1" customFormat="1" ht="12.75">
      <c r="A546" s="224">
        <v>402091</v>
      </c>
      <c r="B546" s="9" t="s">
        <v>205</v>
      </c>
      <c r="C546" s="20"/>
      <c r="D546" s="55"/>
      <c r="E546" s="72"/>
      <c r="F546" s="381">
        <f>IF(D546=0,0,+G545)</f>
        <v>0</v>
      </c>
      <c r="G546" s="378">
        <f t="shared" si="61"/>
        <v>0</v>
      </c>
      <c r="H546" s="375">
        <f t="shared" si="62"/>
        <v>0</v>
      </c>
      <c r="I546" s="376">
        <f t="shared" si="63"/>
        <v>0</v>
      </c>
      <c r="J546" s="41"/>
      <c r="K546" s="367"/>
      <c r="L546" s="520">
        <f t="shared" si="64"/>
      </c>
      <c r="M546" s="169"/>
      <c r="N546" s="199"/>
      <c r="O546" s="199"/>
    </row>
    <row r="547" spans="1:15" s="1" customFormat="1" ht="12.75">
      <c r="A547" s="224">
        <v>404092</v>
      </c>
      <c r="B547" s="12" t="s">
        <v>590</v>
      </c>
      <c r="C547" s="20"/>
      <c r="D547" s="72"/>
      <c r="E547" s="72"/>
      <c r="F547" s="95"/>
      <c r="G547" s="378">
        <f t="shared" si="61"/>
        <v>0</v>
      </c>
      <c r="H547" s="375">
        <f t="shared" si="62"/>
        <v>0</v>
      </c>
      <c r="I547" s="376">
        <f t="shared" si="63"/>
        <v>0</v>
      </c>
      <c r="J547" s="41"/>
      <c r="K547" s="367"/>
      <c r="L547" s="520">
        <f t="shared" si="64"/>
      </c>
      <c r="M547" s="169"/>
      <c r="N547" s="199"/>
      <c r="O547" s="199"/>
    </row>
    <row r="548" spans="1:15" s="1" customFormat="1" ht="12.75">
      <c r="A548" s="224">
        <v>404095</v>
      </c>
      <c r="B548" s="9" t="s">
        <v>554</v>
      </c>
      <c r="C548" s="20"/>
      <c r="D548" s="73"/>
      <c r="E548" s="73"/>
      <c r="F548" s="94"/>
      <c r="G548" s="384">
        <f>SUM(I541:I547)</f>
        <v>0</v>
      </c>
      <c r="H548" s="38"/>
      <c r="I548" s="39" t="s">
        <v>555</v>
      </c>
      <c r="J548" s="39"/>
      <c r="K548" s="572"/>
      <c r="L548" s="520"/>
      <c r="M548" s="169"/>
      <c r="N548" s="199"/>
      <c r="O548" s="199"/>
    </row>
    <row r="549" spans="1:15" s="1" customFormat="1" ht="12.75">
      <c r="A549" s="224">
        <v>407012</v>
      </c>
      <c r="B549" s="9" t="s">
        <v>206</v>
      </c>
      <c r="C549" s="20"/>
      <c r="D549" s="72"/>
      <c r="E549" s="72"/>
      <c r="F549" s="95"/>
      <c r="G549" s="378">
        <f aca="true" t="shared" si="65" ref="G549:G558">IF(X=0,(IF(Me=0,Sa,Me*Sa)),(IF(Me=0,Sa*X,Me*X*Sa)))</f>
        <v>0</v>
      </c>
      <c r="H549" s="38"/>
      <c r="I549" s="39"/>
      <c r="J549" s="39"/>
      <c r="K549" s="367"/>
      <c r="L549" s="520">
        <f t="shared" si="64"/>
      </c>
      <c r="M549" s="169"/>
      <c r="N549" s="199"/>
      <c r="O549" s="199"/>
    </row>
    <row r="550" spans="1:15" s="1" customFormat="1" ht="12.75">
      <c r="A550" s="224">
        <v>407017</v>
      </c>
      <c r="B550" s="9" t="s">
        <v>207</v>
      </c>
      <c r="C550" s="20"/>
      <c r="D550" s="72"/>
      <c r="E550" s="72"/>
      <c r="F550" s="95"/>
      <c r="G550" s="378">
        <f t="shared" si="65"/>
        <v>0</v>
      </c>
      <c r="H550" s="38"/>
      <c r="I550" s="39"/>
      <c r="J550" s="39"/>
      <c r="K550" s="367"/>
      <c r="L550" s="520">
        <f t="shared" si="64"/>
      </c>
      <c r="M550" s="169"/>
      <c r="N550" s="199"/>
      <c r="O550" s="199"/>
    </row>
    <row r="551" spans="1:15" s="1" customFormat="1" ht="12.75">
      <c r="A551" s="224">
        <v>407018</v>
      </c>
      <c r="B551" s="9" t="s">
        <v>767</v>
      </c>
      <c r="C551" s="20"/>
      <c r="D551" s="72"/>
      <c r="E551" s="72"/>
      <c r="F551" s="95"/>
      <c r="G551" s="378">
        <f t="shared" si="65"/>
        <v>0</v>
      </c>
      <c r="H551" s="38"/>
      <c r="I551" s="39"/>
      <c r="J551" s="39"/>
      <c r="K551" s="367"/>
      <c r="L551" s="520">
        <f t="shared" si="64"/>
      </c>
      <c r="M551" s="169"/>
      <c r="N551" s="199"/>
      <c r="O551" s="199"/>
    </row>
    <row r="552" spans="1:15" s="1" customFormat="1" ht="12.75">
      <c r="A552" s="224">
        <v>407020</v>
      </c>
      <c r="B552" s="9" t="s">
        <v>208</v>
      </c>
      <c r="C552" s="20"/>
      <c r="D552" s="72"/>
      <c r="E552" s="72"/>
      <c r="F552" s="95"/>
      <c r="G552" s="378">
        <f t="shared" si="65"/>
        <v>0</v>
      </c>
      <c r="H552" s="38"/>
      <c r="I552" s="39"/>
      <c r="J552" s="39"/>
      <c r="K552" s="367"/>
      <c r="L552" s="520">
        <f t="shared" si="64"/>
      </c>
      <c r="M552" s="169"/>
      <c r="N552" s="199"/>
      <c r="O552" s="199"/>
    </row>
    <row r="553" spans="1:15" s="1" customFormat="1" ht="12.75">
      <c r="A553" s="224">
        <v>407021</v>
      </c>
      <c r="B553" s="9" t="s">
        <v>209</v>
      </c>
      <c r="C553" s="20"/>
      <c r="D553" s="72"/>
      <c r="E553" s="72"/>
      <c r="F553" s="95"/>
      <c r="G553" s="378">
        <f t="shared" si="65"/>
        <v>0</v>
      </c>
      <c r="H553" s="38"/>
      <c r="I553" s="39"/>
      <c r="J553" s="39"/>
      <c r="K553" s="367"/>
      <c r="L553" s="520">
        <f t="shared" si="64"/>
      </c>
      <c r="M553" s="169"/>
      <c r="N553" s="199"/>
      <c r="O553" s="199"/>
    </row>
    <row r="554" spans="1:15" s="1" customFormat="1" ht="12.75">
      <c r="A554" s="224">
        <v>407030</v>
      </c>
      <c r="B554" s="9" t="s">
        <v>210</v>
      </c>
      <c r="C554" s="20"/>
      <c r="D554" s="72"/>
      <c r="E554" s="72"/>
      <c r="F554" s="95"/>
      <c r="G554" s="378">
        <f t="shared" si="65"/>
        <v>0</v>
      </c>
      <c r="H554" s="38"/>
      <c r="I554" s="39"/>
      <c r="J554" s="39"/>
      <c r="K554" s="367"/>
      <c r="L554" s="520">
        <f t="shared" si="64"/>
      </c>
      <c r="M554" s="169"/>
      <c r="N554" s="199"/>
      <c r="O554" s="199"/>
    </row>
    <row r="555" spans="1:15" s="1" customFormat="1" ht="12.75">
      <c r="A555" s="224">
        <v>409027</v>
      </c>
      <c r="B555" s="9" t="s">
        <v>15</v>
      </c>
      <c r="C555" s="20"/>
      <c r="D555" s="72"/>
      <c r="E555" s="72"/>
      <c r="F555" s="95"/>
      <c r="G555" s="378">
        <f t="shared" si="65"/>
        <v>0</v>
      </c>
      <c r="H555" s="38"/>
      <c r="I555" s="39"/>
      <c r="J555" s="39"/>
      <c r="K555" s="367"/>
      <c r="L555" s="520">
        <f t="shared" si="64"/>
      </c>
      <c r="M555" s="169"/>
      <c r="N555" s="199"/>
      <c r="O555" s="199"/>
    </row>
    <row r="556" spans="1:15" s="1" customFormat="1" ht="12.75">
      <c r="A556" s="224">
        <v>409050</v>
      </c>
      <c r="B556" s="12" t="s">
        <v>17</v>
      </c>
      <c r="C556" s="20"/>
      <c r="D556" s="72"/>
      <c r="E556" s="72"/>
      <c r="F556" s="95"/>
      <c r="G556" s="378">
        <f t="shared" si="65"/>
        <v>0</v>
      </c>
      <c r="H556" s="38"/>
      <c r="I556" s="39"/>
      <c r="J556" s="39"/>
      <c r="K556" s="367"/>
      <c r="L556" s="520">
        <f t="shared" si="64"/>
      </c>
      <c r="M556" s="169"/>
      <c r="N556" s="199"/>
      <c r="O556" s="199"/>
    </row>
    <row r="557" spans="1:15" s="1" customFormat="1" ht="12.75">
      <c r="A557" s="224">
        <v>409064</v>
      </c>
      <c r="B557" s="9" t="s">
        <v>21</v>
      </c>
      <c r="C557" s="20"/>
      <c r="D557" s="72"/>
      <c r="E557" s="72"/>
      <c r="F557" s="95"/>
      <c r="G557" s="378">
        <f t="shared" si="65"/>
        <v>0</v>
      </c>
      <c r="H557" s="38"/>
      <c r="I557" s="39"/>
      <c r="J557" s="39"/>
      <c r="K557" s="367"/>
      <c r="L557" s="520">
        <f t="shared" si="64"/>
      </c>
      <c r="M557" s="169"/>
      <c r="N557" s="199"/>
      <c r="O557" s="199"/>
    </row>
    <row r="558" spans="1:15" s="1" customFormat="1" ht="12.75">
      <c r="A558" s="224">
        <v>409069</v>
      </c>
      <c r="B558" s="218" t="s">
        <v>564</v>
      </c>
      <c r="C558" s="219" t="s">
        <v>416</v>
      </c>
      <c r="D558" s="220"/>
      <c r="E558" s="220"/>
      <c r="F558" s="221"/>
      <c r="G558" s="379">
        <f t="shared" si="65"/>
        <v>0</v>
      </c>
      <c r="H558" s="38"/>
      <c r="I558" s="41"/>
      <c r="J558" s="41"/>
      <c r="K558" s="367"/>
      <c r="L558" s="520">
        <f t="shared" si="64"/>
      </c>
      <c r="M558" s="169"/>
      <c r="N558" s="199"/>
      <c r="O558" s="199"/>
    </row>
    <row r="559" spans="1:15" s="1" customFormat="1" ht="13.5" thickBot="1">
      <c r="A559" s="231" t="s">
        <v>401</v>
      </c>
      <c r="B559" s="6"/>
      <c r="C559" s="22"/>
      <c r="D559" s="44"/>
      <c r="E559" s="71"/>
      <c r="F559" s="90" t="s">
        <v>570</v>
      </c>
      <c r="G559" s="383">
        <f>SUM(G541:G558)</f>
        <v>0</v>
      </c>
      <c r="H559" s="38"/>
      <c r="I559" s="44"/>
      <c r="J559" s="44"/>
      <c r="K559" s="366"/>
      <c r="L559" s="383">
        <f>SUM(L541:L558)</f>
        <v>0</v>
      </c>
      <c r="M559" s="169"/>
      <c r="N559" s="199"/>
      <c r="O559" s="199"/>
    </row>
    <row r="560" spans="1:15" s="1" customFormat="1" ht="0.75" customHeight="1" thickTop="1">
      <c r="A560" s="226"/>
      <c r="C560" s="21"/>
      <c r="D560" s="44"/>
      <c r="E560" s="71"/>
      <c r="F560" s="90"/>
      <c r="G560" s="41"/>
      <c r="H560" s="38"/>
      <c r="I560" s="41"/>
      <c r="J560" s="41"/>
      <c r="K560" s="366"/>
      <c r="L560" s="516"/>
      <c r="M560" s="169"/>
      <c r="N560" s="199"/>
      <c r="O560" s="199"/>
    </row>
    <row r="561" spans="1:15" s="1" customFormat="1" ht="24.75" customHeight="1" thickTop="1">
      <c r="A561" s="228" t="s">
        <v>529</v>
      </c>
      <c r="B561" s="2"/>
      <c r="C561" s="21"/>
      <c r="D561" s="171" t="s">
        <v>422</v>
      </c>
      <c r="E561" s="172" t="s">
        <v>423</v>
      </c>
      <c r="F561" s="171" t="s">
        <v>424</v>
      </c>
      <c r="G561" s="171" t="s">
        <v>425</v>
      </c>
      <c r="H561" s="171" t="s">
        <v>426</v>
      </c>
      <c r="I561" s="173" t="s">
        <v>427</v>
      </c>
      <c r="J561" s="173"/>
      <c r="K561" s="366"/>
      <c r="L561" s="518" t="s">
        <v>688</v>
      </c>
      <c r="M561" s="169"/>
      <c r="N561" s="199"/>
      <c r="O561" s="199"/>
    </row>
    <row r="562" spans="1:15" s="1" customFormat="1" ht="12.75">
      <c r="A562" s="224">
        <v>412110</v>
      </c>
      <c r="B562" s="9" t="s">
        <v>211</v>
      </c>
      <c r="C562" s="20"/>
      <c r="D562" s="72"/>
      <c r="E562" s="72"/>
      <c r="F562" s="95"/>
      <c r="G562" s="377">
        <f aca="true" t="shared" si="66" ref="G562:G570">IF(X=0,(IF(Me=0,Sa,Me*Sa)),(IF(Me=0,Sa*X,Me*X*Sa)))</f>
        <v>0</v>
      </c>
      <c r="H562" s="375">
        <f aca="true" t="shared" si="67" ref="H562:H570">IF(Sum,Sos,0)</f>
        <v>0</v>
      </c>
      <c r="I562" s="376">
        <f aca="true" t="shared" si="68" ref="I562:I570">IF(Prosent&lt;&gt;0,(Sum*Prosent)/100,0)</f>
        <v>0</v>
      </c>
      <c r="J562" s="41"/>
      <c r="K562" s="367"/>
      <c r="L562" s="520">
        <f aca="true" t="shared" si="69" ref="L562:L582">IF(FMVA&lt;&gt;"",(Sum*mva)-Sum,"")</f>
      </c>
      <c r="M562" s="169"/>
      <c r="N562" s="199"/>
      <c r="O562" s="199"/>
    </row>
    <row r="563" spans="1:15" s="1" customFormat="1" ht="12.75">
      <c r="A563" s="224">
        <v>412111</v>
      </c>
      <c r="B563" s="12" t="s">
        <v>212</v>
      </c>
      <c r="C563" s="20"/>
      <c r="D563" s="55"/>
      <c r="E563" s="72"/>
      <c r="F563" s="381">
        <f>IF(D563=0,0,+G562)</f>
        <v>0</v>
      </c>
      <c r="G563" s="378">
        <f t="shared" si="66"/>
        <v>0</v>
      </c>
      <c r="H563" s="375">
        <f t="shared" si="67"/>
        <v>0</v>
      </c>
      <c r="I563" s="376">
        <f t="shared" si="68"/>
        <v>0</v>
      </c>
      <c r="J563" s="41"/>
      <c r="K563" s="367"/>
      <c r="L563" s="520">
        <f t="shared" si="69"/>
      </c>
      <c r="M563" s="169"/>
      <c r="N563" s="199"/>
      <c r="O563" s="199"/>
    </row>
    <row r="564" spans="1:15" s="1" customFormat="1" ht="12.75">
      <c r="A564" s="224">
        <v>412112</v>
      </c>
      <c r="B564" s="9" t="s">
        <v>213</v>
      </c>
      <c r="C564" s="20"/>
      <c r="D564" s="72"/>
      <c r="E564" s="72"/>
      <c r="F564" s="95"/>
      <c r="G564" s="378">
        <f t="shared" si="66"/>
        <v>0</v>
      </c>
      <c r="H564" s="375">
        <f t="shared" si="67"/>
        <v>0</v>
      </c>
      <c r="I564" s="376">
        <f t="shared" si="68"/>
        <v>0</v>
      </c>
      <c r="J564" s="41"/>
      <c r="K564" s="367"/>
      <c r="L564" s="520">
        <f t="shared" si="69"/>
      </c>
      <c r="M564" s="169"/>
      <c r="N564" s="199"/>
      <c r="O564" s="199"/>
    </row>
    <row r="565" spans="1:15" s="1" customFormat="1" ht="12.75">
      <c r="A565" s="224">
        <v>412113</v>
      </c>
      <c r="B565" s="12" t="s">
        <v>214</v>
      </c>
      <c r="C565" s="20"/>
      <c r="D565" s="55"/>
      <c r="E565" s="72"/>
      <c r="F565" s="381">
        <f>IF(D565=0,0,+G564)</f>
        <v>0</v>
      </c>
      <c r="G565" s="378">
        <f t="shared" si="66"/>
        <v>0</v>
      </c>
      <c r="H565" s="375">
        <f t="shared" si="67"/>
        <v>0</v>
      </c>
      <c r="I565" s="376">
        <f t="shared" si="68"/>
        <v>0</v>
      </c>
      <c r="J565" s="41"/>
      <c r="K565" s="367"/>
      <c r="L565" s="520">
        <f t="shared" si="69"/>
      </c>
      <c r="M565" s="169"/>
      <c r="N565" s="199"/>
      <c r="O565" s="199"/>
    </row>
    <row r="566" spans="1:15" s="1" customFormat="1" ht="12.75">
      <c r="A566" s="224">
        <v>412114</v>
      </c>
      <c r="B566" s="9" t="s">
        <v>215</v>
      </c>
      <c r="C566" s="20"/>
      <c r="D566" s="72"/>
      <c r="E566" s="72"/>
      <c r="F566" s="95"/>
      <c r="G566" s="378">
        <f t="shared" si="66"/>
        <v>0</v>
      </c>
      <c r="H566" s="375">
        <f t="shared" si="67"/>
        <v>0</v>
      </c>
      <c r="I566" s="376">
        <f t="shared" si="68"/>
        <v>0</v>
      </c>
      <c r="J566" s="41"/>
      <c r="K566" s="367"/>
      <c r="L566" s="520">
        <f t="shared" si="69"/>
      </c>
      <c r="M566" s="169"/>
      <c r="N566" s="199"/>
      <c r="O566" s="199"/>
    </row>
    <row r="567" spans="1:15" s="1" customFormat="1" ht="12.75">
      <c r="A567" s="224">
        <v>412115</v>
      </c>
      <c r="B567" s="12" t="s">
        <v>216</v>
      </c>
      <c r="C567" s="20"/>
      <c r="D567" s="55"/>
      <c r="E567" s="72"/>
      <c r="F567" s="381">
        <f>IF(D567=0,0,+G566)</f>
        <v>0</v>
      </c>
      <c r="G567" s="378">
        <f t="shared" si="66"/>
        <v>0</v>
      </c>
      <c r="H567" s="375">
        <f t="shared" si="67"/>
        <v>0</v>
      </c>
      <c r="I567" s="376">
        <f t="shared" si="68"/>
        <v>0</v>
      </c>
      <c r="J567" s="41"/>
      <c r="K567" s="367"/>
      <c r="L567" s="520">
        <f t="shared" si="69"/>
      </c>
      <c r="M567" s="169"/>
      <c r="N567" s="199"/>
      <c r="O567" s="199"/>
    </row>
    <row r="568" spans="1:15" s="1" customFormat="1" ht="12.75">
      <c r="A568" s="224">
        <v>412190</v>
      </c>
      <c r="B568" s="9" t="s">
        <v>217</v>
      </c>
      <c r="C568" s="20"/>
      <c r="D568" s="72"/>
      <c r="E568" s="72"/>
      <c r="F568" s="95"/>
      <c r="G568" s="378">
        <f t="shared" si="66"/>
        <v>0</v>
      </c>
      <c r="H568" s="375">
        <f t="shared" si="67"/>
        <v>0</v>
      </c>
      <c r="I568" s="376">
        <f t="shared" si="68"/>
        <v>0</v>
      </c>
      <c r="J568" s="41"/>
      <c r="K568" s="367"/>
      <c r="L568" s="520">
        <f t="shared" si="69"/>
      </c>
      <c r="M568" s="169"/>
      <c r="N568" s="199"/>
      <c r="O568" s="199"/>
    </row>
    <row r="569" spans="1:15" s="1" customFormat="1" ht="12.75">
      <c r="A569" s="224">
        <v>412191</v>
      </c>
      <c r="B569" s="9" t="s">
        <v>218</v>
      </c>
      <c r="C569" s="20"/>
      <c r="D569" s="40"/>
      <c r="E569" s="72"/>
      <c r="F569" s="381">
        <f>IF(D569=0,0,+G568)</f>
        <v>0</v>
      </c>
      <c r="G569" s="378">
        <f t="shared" si="66"/>
        <v>0</v>
      </c>
      <c r="H569" s="375">
        <f t="shared" si="67"/>
        <v>0</v>
      </c>
      <c r="I569" s="376">
        <f t="shared" si="68"/>
        <v>0</v>
      </c>
      <c r="J569" s="41"/>
      <c r="K569" s="367"/>
      <c r="L569" s="520">
        <f t="shared" si="69"/>
      </c>
      <c r="M569" s="169"/>
      <c r="N569" s="199"/>
      <c r="O569" s="199"/>
    </row>
    <row r="570" spans="1:15" s="1" customFormat="1" ht="12.75">
      <c r="A570" s="224">
        <v>414092</v>
      </c>
      <c r="B570" s="9" t="s">
        <v>590</v>
      </c>
      <c r="C570" s="20"/>
      <c r="D570" s="72"/>
      <c r="E570" s="72"/>
      <c r="F570" s="95"/>
      <c r="G570" s="378">
        <f t="shared" si="66"/>
        <v>0</v>
      </c>
      <c r="H570" s="375">
        <f t="shared" si="67"/>
        <v>0</v>
      </c>
      <c r="I570" s="376">
        <f t="shared" si="68"/>
        <v>0</v>
      </c>
      <c r="J570" s="41"/>
      <c r="K570" s="367"/>
      <c r="L570" s="520">
        <f t="shared" si="69"/>
      </c>
      <c r="M570" s="169"/>
      <c r="N570" s="199"/>
      <c r="O570" s="199"/>
    </row>
    <row r="571" spans="1:15" s="1" customFormat="1" ht="12.75">
      <c r="A571" s="224">
        <v>414095</v>
      </c>
      <c r="B571" s="9" t="s">
        <v>554</v>
      </c>
      <c r="C571" s="20"/>
      <c r="D571" s="73"/>
      <c r="E571" s="73"/>
      <c r="F571" s="94"/>
      <c r="G571" s="384">
        <f>SUM(I562:I570)</f>
        <v>0</v>
      </c>
      <c r="H571" s="41"/>
      <c r="I571" s="39" t="s">
        <v>555</v>
      </c>
      <c r="J571" s="39"/>
      <c r="K571" s="572"/>
      <c r="L571" s="520"/>
      <c r="M571" s="169"/>
      <c r="N571" s="199"/>
      <c r="O571" s="199"/>
    </row>
    <row r="572" spans="1:15" s="1" customFormat="1" ht="12.75">
      <c r="A572" s="224">
        <v>417110</v>
      </c>
      <c r="B572" s="9" t="s">
        <v>220</v>
      </c>
      <c r="C572" s="20"/>
      <c r="D572" s="72"/>
      <c r="E572" s="72"/>
      <c r="F572" s="95"/>
      <c r="G572" s="378">
        <f aca="true" t="shared" si="70" ref="G572:G582">IF(X=0,(IF(Me=0,Sa,Me*Sa)),(IF(Me=0,Sa*X,Me*X*Sa)))</f>
        <v>0</v>
      </c>
      <c r="H572" s="39"/>
      <c r="I572" s="41"/>
      <c r="J572" s="41"/>
      <c r="K572" s="367"/>
      <c r="L572" s="520">
        <f t="shared" si="69"/>
      </c>
      <c r="M572" s="169"/>
      <c r="N572" s="199"/>
      <c r="O572" s="199"/>
    </row>
    <row r="573" spans="1:15" s="1" customFormat="1" ht="12.75">
      <c r="A573" s="224">
        <v>417111</v>
      </c>
      <c r="B573" s="9" t="s">
        <v>221</v>
      </c>
      <c r="C573" s="20"/>
      <c r="D573" s="72"/>
      <c r="E573" s="72"/>
      <c r="F573" s="95"/>
      <c r="G573" s="378">
        <f t="shared" si="70"/>
        <v>0</v>
      </c>
      <c r="H573" s="39"/>
      <c r="I573" s="41"/>
      <c r="J573" s="41"/>
      <c r="K573" s="367"/>
      <c r="L573" s="520">
        <f t="shared" si="69"/>
      </c>
      <c r="M573" s="169"/>
      <c r="N573" s="199"/>
      <c r="O573" s="199"/>
    </row>
    <row r="574" spans="1:15" s="1" customFormat="1" ht="12.75">
      <c r="A574" s="224">
        <v>417112</v>
      </c>
      <c r="B574" s="12" t="s">
        <v>222</v>
      </c>
      <c r="C574" s="20"/>
      <c r="D574" s="72"/>
      <c r="E574" s="72"/>
      <c r="F574" s="95"/>
      <c r="G574" s="378">
        <f t="shared" si="70"/>
        <v>0</v>
      </c>
      <c r="H574" s="39"/>
      <c r="I574" s="41"/>
      <c r="J574" s="41"/>
      <c r="K574" s="367"/>
      <c r="L574" s="520">
        <f t="shared" si="69"/>
      </c>
      <c r="M574" s="169"/>
      <c r="N574" s="199"/>
      <c r="O574" s="199"/>
    </row>
    <row r="575" spans="1:15" s="1" customFormat="1" ht="12.75">
      <c r="A575" s="224">
        <v>417113</v>
      </c>
      <c r="B575" s="9" t="s">
        <v>223</v>
      </c>
      <c r="C575" s="20"/>
      <c r="D575" s="72"/>
      <c r="E575" s="72"/>
      <c r="F575" s="95"/>
      <c r="G575" s="378">
        <f t="shared" si="70"/>
        <v>0</v>
      </c>
      <c r="H575" s="39"/>
      <c r="I575" s="41"/>
      <c r="J575" s="41"/>
      <c r="K575" s="367"/>
      <c r="L575" s="520">
        <f t="shared" si="69"/>
      </c>
      <c r="M575" s="169"/>
      <c r="N575" s="199"/>
      <c r="O575" s="199"/>
    </row>
    <row r="576" spans="1:15" s="1" customFormat="1" ht="12.75">
      <c r="A576" s="224">
        <v>417120</v>
      </c>
      <c r="B576" s="12" t="s">
        <v>224</v>
      </c>
      <c r="C576" s="20"/>
      <c r="D576" s="72"/>
      <c r="E576" s="72"/>
      <c r="F576" s="95"/>
      <c r="G576" s="378">
        <f t="shared" si="70"/>
        <v>0</v>
      </c>
      <c r="H576" s="39"/>
      <c r="I576" s="41"/>
      <c r="J576" s="41"/>
      <c r="K576" s="367"/>
      <c r="L576" s="520">
        <f t="shared" si="69"/>
      </c>
      <c r="M576" s="169"/>
      <c r="N576" s="199"/>
      <c r="O576" s="199"/>
    </row>
    <row r="577" spans="1:15" s="1" customFormat="1" ht="12.75">
      <c r="A577" s="224">
        <v>417121</v>
      </c>
      <c r="B577" s="9" t="s">
        <v>225</v>
      </c>
      <c r="C577" s="20"/>
      <c r="D577" s="72"/>
      <c r="E577" s="72"/>
      <c r="F577" s="95"/>
      <c r="G577" s="378">
        <f t="shared" si="70"/>
        <v>0</v>
      </c>
      <c r="H577" s="39"/>
      <c r="I577" s="41"/>
      <c r="J577" s="41"/>
      <c r="K577" s="367"/>
      <c r="L577" s="520">
        <f t="shared" si="69"/>
      </c>
      <c r="M577" s="169"/>
      <c r="N577" s="199"/>
      <c r="O577" s="199"/>
    </row>
    <row r="578" spans="1:15" s="1" customFormat="1" ht="12.75">
      <c r="A578" s="224">
        <v>417127</v>
      </c>
      <c r="B578" s="12" t="s">
        <v>226</v>
      </c>
      <c r="C578" s="20"/>
      <c r="D578" s="72"/>
      <c r="E578" s="72"/>
      <c r="F578" s="95"/>
      <c r="G578" s="378">
        <f t="shared" si="70"/>
        <v>0</v>
      </c>
      <c r="H578" s="39"/>
      <c r="I578" s="41"/>
      <c r="J578" s="41"/>
      <c r="K578" s="367"/>
      <c r="L578" s="520">
        <f t="shared" si="69"/>
      </c>
      <c r="M578" s="169"/>
      <c r="N578" s="199"/>
      <c r="O578" s="199"/>
    </row>
    <row r="579" spans="1:15" s="1" customFormat="1" ht="12.75">
      <c r="A579" s="224">
        <v>417130</v>
      </c>
      <c r="B579" s="9" t="s">
        <v>293</v>
      </c>
      <c r="C579" s="20"/>
      <c r="D579" s="72"/>
      <c r="E579" s="72"/>
      <c r="F579" s="95"/>
      <c r="G579" s="378">
        <f t="shared" si="70"/>
        <v>0</v>
      </c>
      <c r="H579" s="39"/>
      <c r="I579" s="41"/>
      <c r="J579" s="41"/>
      <c r="K579" s="367"/>
      <c r="L579" s="520">
        <f t="shared" si="69"/>
      </c>
      <c r="M579" s="169"/>
      <c r="N579" s="199"/>
      <c r="O579" s="199"/>
    </row>
    <row r="580" spans="1:15" s="1" customFormat="1" ht="12.75">
      <c r="A580" s="224">
        <v>419027</v>
      </c>
      <c r="B580" s="12" t="s">
        <v>15</v>
      </c>
      <c r="C580" s="20"/>
      <c r="D580" s="72"/>
      <c r="E580" s="72"/>
      <c r="F580" s="95"/>
      <c r="G580" s="378">
        <f t="shared" si="70"/>
        <v>0</v>
      </c>
      <c r="H580" s="39"/>
      <c r="I580" s="41"/>
      <c r="J580" s="41"/>
      <c r="K580" s="367"/>
      <c r="L580" s="520">
        <f t="shared" si="69"/>
      </c>
      <c r="M580" s="169"/>
      <c r="N580" s="199"/>
      <c r="O580" s="199"/>
    </row>
    <row r="581" spans="1:15" s="1" customFormat="1" ht="12.75">
      <c r="A581" s="224">
        <v>419064</v>
      </c>
      <c r="B581" s="9" t="s">
        <v>21</v>
      </c>
      <c r="C581" s="20"/>
      <c r="D581" s="72"/>
      <c r="E581" s="72"/>
      <c r="F581" s="95"/>
      <c r="G581" s="378">
        <f t="shared" si="70"/>
        <v>0</v>
      </c>
      <c r="H581" s="39"/>
      <c r="I581" s="41"/>
      <c r="J581" s="41"/>
      <c r="K581" s="367"/>
      <c r="L581" s="520">
        <f t="shared" si="69"/>
      </c>
      <c r="M581" s="169"/>
      <c r="N581" s="199"/>
      <c r="O581" s="199"/>
    </row>
    <row r="582" spans="1:15" s="1" customFormat="1" ht="12.75">
      <c r="A582" s="224">
        <v>419069</v>
      </c>
      <c r="B582" s="218" t="s">
        <v>564</v>
      </c>
      <c r="C582" s="219" t="s">
        <v>416</v>
      </c>
      <c r="D582" s="220"/>
      <c r="E582" s="220"/>
      <c r="F582" s="221"/>
      <c r="G582" s="379">
        <f t="shared" si="70"/>
        <v>0</v>
      </c>
      <c r="H582" s="38"/>
      <c r="I582" s="41"/>
      <c r="J582" s="41"/>
      <c r="K582" s="367"/>
      <c r="L582" s="520">
        <f t="shared" si="69"/>
      </c>
      <c r="M582" s="169"/>
      <c r="N582" s="199"/>
      <c r="O582" s="199"/>
    </row>
    <row r="583" spans="1:15" s="1" customFormat="1" ht="13.5" thickBot="1">
      <c r="A583" s="231" t="s">
        <v>401</v>
      </c>
      <c r="B583" s="6"/>
      <c r="C583" s="22"/>
      <c r="D583" s="44"/>
      <c r="E583" s="71"/>
      <c r="F583" s="90" t="s">
        <v>570</v>
      </c>
      <c r="G583" s="383">
        <f>SUM(G562:G582)</f>
        <v>0</v>
      </c>
      <c r="H583" s="38"/>
      <c r="I583" s="44"/>
      <c r="J583" s="44"/>
      <c r="K583" s="366"/>
      <c r="L583" s="383">
        <f>SUM(L562:L582)</f>
        <v>0</v>
      </c>
      <c r="M583" s="169"/>
      <c r="N583" s="199"/>
      <c r="O583" s="199"/>
    </row>
    <row r="584" spans="1:15" s="1" customFormat="1" ht="0.75" customHeight="1" thickTop="1">
      <c r="A584" s="226"/>
      <c r="C584" s="21"/>
      <c r="D584" s="44"/>
      <c r="E584" s="71"/>
      <c r="F584" s="44"/>
      <c r="G584" s="44"/>
      <c r="H584" s="38"/>
      <c r="I584" s="44"/>
      <c r="J584" s="44"/>
      <c r="K584" s="366"/>
      <c r="L584" s="516"/>
      <c r="M584" s="169"/>
      <c r="N584" s="199"/>
      <c r="O584" s="199"/>
    </row>
    <row r="585" spans="1:15" s="1" customFormat="1" ht="24.75" customHeight="1" thickTop="1">
      <c r="A585" s="228" t="s">
        <v>530</v>
      </c>
      <c r="B585" s="2"/>
      <c r="C585" s="21"/>
      <c r="D585" s="171" t="s">
        <v>422</v>
      </c>
      <c r="E585" s="172" t="s">
        <v>423</v>
      </c>
      <c r="F585" s="171" t="s">
        <v>424</v>
      </c>
      <c r="G585" s="171" t="s">
        <v>425</v>
      </c>
      <c r="H585" s="171" t="s">
        <v>426</v>
      </c>
      <c r="I585" s="173" t="s">
        <v>427</v>
      </c>
      <c r="J585" s="173"/>
      <c r="K585" s="366"/>
      <c r="L585" s="518" t="s">
        <v>688</v>
      </c>
      <c r="M585" s="169"/>
      <c r="N585" s="199"/>
      <c r="O585" s="199"/>
    </row>
    <row r="586" spans="1:15" s="1" customFormat="1" ht="12.75">
      <c r="A586" s="224">
        <v>422201</v>
      </c>
      <c r="B586" s="9" t="s">
        <v>228</v>
      </c>
      <c r="C586" s="20"/>
      <c r="D586" s="40"/>
      <c r="E586" s="72"/>
      <c r="F586" s="95"/>
      <c r="G586" s="377">
        <f aca="true" t="shared" si="71" ref="G586:G640">IF(X=0,(IF(Me=0,Sa,Me*Sa)),(IF(Me=0,Sa*X,Me*X*Sa)))</f>
        <v>0</v>
      </c>
      <c r="H586" s="375">
        <f aca="true" t="shared" si="72" ref="H586:H638">IF(Sum,Sos,0)</f>
        <v>0</v>
      </c>
      <c r="I586" s="376">
        <f aca="true" t="shared" si="73" ref="I586:I638">IF(Prosent&lt;&gt;0,(Sum*Prosent)/100,0)</f>
        <v>0</v>
      </c>
      <c r="J586" s="41"/>
      <c r="K586" s="367"/>
      <c r="L586" s="520">
        <f aca="true" t="shared" si="74" ref="L586:L640">IF(FMVA&lt;&gt;"",(Sum*mva)-Sum,"")</f>
      </c>
      <c r="M586" s="169"/>
      <c r="N586" s="199"/>
      <c r="O586" s="199"/>
    </row>
    <row r="587" spans="1:15" s="1" customFormat="1" ht="12.75">
      <c r="A587" s="224">
        <v>422202</v>
      </c>
      <c r="B587" s="9" t="s">
        <v>229</v>
      </c>
      <c r="C587" s="20"/>
      <c r="D587" s="40"/>
      <c r="E587" s="72"/>
      <c r="F587" s="95"/>
      <c r="G587" s="378">
        <f t="shared" si="71"/>
        <v>0</v>
      </c>
      <c r="H587" s="375">
        <f t="shared" si="72"/>
        <v>0</v>
      </c>
      <c r="I587" s="376">
        <f t="shared" si="73"/>
        <v>0</v>
      </c>
      <c r="J587" s="41"/>
      <c r="K587" s="367"/>
      <c r="L587" s="520">
        <f t="shared" si="74"/>
      </c>
      <c r="M587" s="169"/>
      <c r="N587" s="199"/>
      <c r="O587" s="199"/>
    </row>
    <row r="588" spans="1:15" s="1" customFormat="1" ht="12.75">
      <c r="A588" s="224">
        <v>422203</v>
      </c>
      <c r="B588" s="9" t="s">
        <v>230</v>
      </c>
      <c r="C588" s="20"/>
      <c r="D588" s="40"/>
      <c r="E588" s="72"/>
      <c r="F588" s="95"/>
      <c r="G588" s="378">
        <f t="shared" si="71"/>
        <v>0</v>
      </c>
      <c r="H588" s="375">
        <f t="shared" si="72"/>
        <v>0</v>
      </c>
      <c r="I588" s="376">
        <f t="shared" si="73"/>
        <v>0</v>
      </c>
      <c r="J588" s="41"/>
      <c r="K588" s="367"/>
      <c r="L588" s="520">
        <f t="shared" si="74"/>
      </c>
      <c r="M588" s="169"/>
      <c r="N588" s="199"/>
      <c r="O588" s="199"/>
    </row>
    <row r="589" spans="1:15" s="1" customFormat="1" ht="12.75">
      <c r="A589" s="224">
        <v>422204</v>
      </c>
      <c r="B589" s="9" t="s">
        <v>231</v>
      </c>
      <c r="C589" s="20"/>
      <c r="D589" s="40"/>
      <c r="E589" s="72"/>
      <c r="F589" s="95"/>
      <c r="G589" s="378">
        <f t="shared" si="71"/>
        <v>0</v>
      </c>
      <c r="H589" s="375">
        <f t="shared" si="72"/>
        <v>0</v>
      </c>
      <c r="I589" s="376">
        <f t="shared" si="73"/>
        <v>0</v>
      </c>
      <c r="J589" s="41"/>
      <c r="K589" s="367"/>
      <c r="L589" s="520">
        <f t="shared" si="74"/>
      </c>
      <c r="M589" s="169"/>
      <c r="N589" s="199"/>
      <c r="O589" s="199"/>
    </row>
    <row r="590" spans="1:15" s="1" customFormat="1" ht="12.75">
      <c r="A590" s="224">
        <v>422205</v>
      </c>
      <c r="B590" s="9" t="s">
        <v>232</v>
      </c>
      <c r="C590" s="20"/>
      <c r="D590" s="40"/>
      <c r="E590" s="72"/>
      <c r="F590" s="95"/>
      <c r="G590" s="378">
        <f t="shared" si="71"/>
        <v>0</v>
      </c>
      <c r="H590" s="375">
        <f t="shared" si="72"/>
        <v>0</v>
      </c>
      <c r="I590" s="376">
        <f t="shared" si="73"/>
        <v>0</v>
      </c>
      <c r="J590" s="41"/>
      <c r="K590" s="367"/>
      <c r="L590" s="520">
        <f t="shared" si="74"/>
      </c>
      <c r="M590" s="169"/>
      <c r="N590" s="199"/>
      <c r="O590" s="199"/>
    </row>
    <row r="591" spans="1:15" s="1" customFormat="1" ht="12.75">
      <c r="A591" s="224">
        <v>422206</v>
      </c>
      <c r="B591" s="9" t="s">
        <v>233</v>
      </c>
      <c r="C591" s="20"/>
      <c r="D591" s="40"/>
      <c r="E591" s="72"/>
      <c r="F591" s="95"/>
      <c r="G591" s="378">
        <f t="shared" si="71"/>
        <v>0</v>
      </c>
      <c r="H591" s="375">
        <f t="shared" si="72"/>
        <v>0</v>
      </c>
      <c r="I591" s="376">
        <f t="shared" si="73"/>
        <v>0</v>
      </c>
      <c r="J591" s="41"/>
      <c r="K591" s="367"/>
      <c r="L591" s="520">
        <f t="shared" si="74"/>
      </c>
      <c r="M591" s="169"/>
      <c r="N591" s="199"/>
      <c r="O591" s="199"/>
    </row>
    <row r="592" spans="1:15" s="1" customFormat="1" ht="12.75">
      <c r="A592" s="224">
        <v>422207</v>
      </c>
      <c r="B592" s="9" t="s">
        <v>234</v>
      </c>
      <c r="C592" s="20"/>
      <c r="D592" s="40"/>
      <c r="E592" s="72"/>
      <c r="F592" s="95"/>
      <c r="G592" s="378">
        <f t="shared" si="71"/>
        <v>0</v>
      </c>
      <c r="H592" s="375">
        <f t="shared" si="72"/>
        <v>0</v>
      </c>
      <c r="I592" s="376">
        <f t="shared" si="73"/>
        <v>0</v>
      </c>
      <c r="J592" s="41"/>
      <c r="K592" s="367"/>
      <c r="L592" s="520">
        <f t="shared" si="74"/>
      </c>
      <c r="M592" s="169"/>
      <c r="N592" s="199"/>
      <c r="O592" s="199"/>
    </row>
    <row r="593" spans="1:15" s="1" customFormat="1" ht="12.75">
      <c r="A593" s="224">
        <v>422208</v>
      </c>
      <c r="B593" s="9" t="s">
        <v>235</v>
      </c>
      <c r="C593" s="20"/>
      <c r="D593" s="40"/>
      <c r="E593" s="72"/>
      <c r="F593" s="95"/>
      <c r="G593" s="378">
        <f t="shared" si="71"/>
        <v>0</v>
      </c>
      <c r="H593" s="375">
        <f t="shared" si="72"/>
        <v>0</v>
      </c>
      <c r="I593" s="376">
        <f t="shared" si="73"/>
        <v>0</v>
      </c>
      <c r="J593" s="41"/>
      <c r="K593" s="367"/>
      <c r="L593" s="520">
        <f t="shared" si="74"/>
      </c>
      <c r="M593" s="169"/>
      <c r="N593" s="199"/>
      <c r="O593" s="199"/>
    </row>
    <row r="594" spans="1:15" s="1" customFormat="1" ht="12.75">
      <c r="A594" s="224">
        <v>422209</v>
      </c>
      <c r="B594" s="9" t="s">
        <v>236</v>
      </c>
      <c r="C594" s="20"/>
      <c r="D594" s="40"/>
      <c r="E594" s="72"/>
      <c r="F594" s="95"/>
      <c r="G594" s="378">
        <f t="shared" si="71"/>
        <v>0</v>
      </c>
      <c r="H594" s="375">
        <f t="shared" si="72"/>
        <v>0</v>
      </c>
      <c r="I594" s="376">
        <f t="shared" si="73"/>
        <v>0</v>
      </c>
      <c r="J594" s="41"/>
      <c r="K594" s="367"/>
      <c r="L594" s="520">
        <f t="shared" si="74"/>
      </c>
      <c r="M594" s="169"/>
      <c r="N594" s="199"/>
      <c r="O594" s="199"/>
    </row>
    <row r="595" spans="1:15" s="1" customFormat="1" ht="12.75">
      <c r="A595" s="224">
        <v>422210</v>
      </c>
      <c r="B595" s="9" t="s">
        <v>237</v>
      </c>
      <c r="C595" s="20"/>
      <c r="D595" s="40"/>
      <c r="E595" s="72"/>
      <c r="F595" s="95"/>
      <c r="G595" s="378">
        <f t="shared" si="71"/>
        <v>0</v>
      </c>
      <c r="H595" s="375">
        <f t="shared" si="72"/>
        <v>0</v>
      </c>
      <c r="I595" s="376">
        <f t="shared" si="73"/>
        <v>0</v>
      </c>
      <c r="J595" s="41"/>
      <c r="K595" s="367"/>
      <c r="L595" s="520">
        <f t="shared" si="74"/>
      </c>
      <c r="M595" s="169"/>
      <c r="N595" s="199"/>
      <c r="O595" s="199"/>
    </row>
    <row r="596" spans="1:15" s="1" customFormat="1" ht="12.75">
      <c r="A596" s="224">
        <v>422211</v>
      </c>
      <c r="B596" s="9" t="s">
        <v>238</v>
      </c>
      <c r="C596" s="20"/>
      <c r="D596" s="40"/>
      <c r="E596" s="72"/>
      <c r="F596" s="95"/>
      <c r="G596" s="378">
        <f t="shared" si="71"/>
        <v>0</v>
      </c>
      <c r="H596" s="375">
        <f t="shared" si="72"/>
        <v>0</v>
      </c>
      <c r="I596" s="376">
        <f t="shared" si="73"/>
        <v>0</v>
      </c>
      <c r="J596" s="41"/>
      <c r="K596" s="367"/>
      <c r="L596" s="520">
        <f t="shared" si="74"/>
      </c>
      <c r="M596" s="169"/>
      <c r="N596" s="199"/>
      <c r="O596" s="199"/>
    </row>
    <row r="597" spans="1:15" s="1" customFormat="1" ht="12.75">
      <c r="A597" s="224">
        <v>422212</v>
      </c>
      <c r="B597" s="9" t="s">
        <v>239</v>
      </c>
      <c r="C597" s="20"/>
      <c r="D597" s="40"/>
      <c r="E597" s="72"/>
      <c r="F597" s="95"/>
      <c r="G597" s="378">
        <f t="shared" si="71"/>
        <v>0</v>
      </c>
      <c r="H597" s="375">
        <f t="shared" si="72"/>
        <v>0</v>
      </c>
      <c r="I597" s="376">
        <f t="shared" si="73"/>
        <v>0</v>
      </c>
      <c r="J597" s="41"/>
      <c r="K597" s="367"/>
      <c r="L597" s="520">
        <f t="shared" si="74"/>
      </c>
      <c r="M597" s="169"/>
      <c r="N597" s="199"/>
      <c r="O597" s="199"/>
    </row>
    <row r="598" spans="1:15" s="1" customFormat="1" ht="12.75">
      <c r="A598" s="224">
        <v>422213</v>
      </c>
      <c r="B598" s="9" t="s">
        <v>240</v>
      </c>
      <c r="C598" s="20"/>
      <c r="D598" s="40"/>
      <c r="E598" s="72"/>
      <c r="F598" s="95"/>
      <c r="G598" s="378">
        <f t="shared" si="71"/>
        <v>0</v>
      </c>
      <c r="H598" s="375">
        <f t="shared" si="72"/>
        <v>0</v>
      </c>
      <c r="I598" s="376">
        <f t="shared" si="73"/>
        <v>0</v>
      </c>
      <c r="J598" s="41"/>
      <c r="K598" s="367"/>
      <c r="L598" s="520">
        <f t="shared" si="74"/>
      </c>
      <c r="M598" s="169"/>
      <c r="N598" s="199"/>
      <c r="O598" s="199"/>
    </row>
    <row r="599" spans="1:15" s="1" customFormat="1" ht="12.75">
      <c r="A599" s="224">
        <v>422214</v>
      </c>
      <c r="B599" s="9" t="s">
        <v>241</v>
      </c>
      <c r="C599" s="20"/>
      <c r="D599" s="40"/>
      <c r="E599" s="72"/>
      <c r="F599" s="95"/>
      <c r="G599" s="378">
        <f t="shared" si="71"/>
        <v>0</v>
      </c>
      <c r="H599" s="375">
        <f t="shared" si="72"/>
        <v>0</v>
      </c>
      <c r="I599" s="376">
        <f t="shared" si="73"/>
        <v>0</v>
      </c>
      <c r="J599" s="41"/>
      <c r="K599" s="367"/>
      <c r="L599" s="520">
        <f t="shared" si="74"/>
      </c>
      <c r="M599" s="169"/>
      <c r="N599" s="199"/>
      <c r="O599" s="199"/>
    </row>
    <row r="600" spans="1:15" s="1" customFormat="1" ht="12.75">
      <c r="A600" s="224">
        <v>422215</v>
      </c>
      <c r="B600" s="9" t="s">
        <v>242</v>
      </c>
      <c r="C600" s="20"/>
      <c r="D600" s="40"/>
      <c r="E600" s="72"/>
      <c r="F600" s="95"/>
      <c r="G600" s="378">
        <f t="shared" si="71"/>
        <v>0</v>
      </c>
      <c r="H600" s="375">
        <f t="shared" si="72"/>
        <v>0</v>
      </c>
      <c r="I600" s="376">
        <f t="shared" si="73"/>
        <v>0</v>
      </c>
      <c r="J600" s="41"/>
      <c r="K600" s="367"/>
      <c r="L600" s="520">
        <f t="shared" si="74"/>
      </c>
      <c r="M600" s="169"/>
      <c r="N600" s="199"/>
      <c r="O600" s="199"/>
    </row>
    <row r="601" spans="1:15" s="1" customFormat="1" ht="12.75">
      <c r="A601" s="224">
        <v>422216</v>
      </c>
      <c r="B601" s="9" t="s">
        <v>243</v>
      </c>
      <c r="C601" s="20"/>
      <c r="D601" s="40"/>
      <c r="E601" s="72"/>
      <c r="F601" s="95"/>
      <c r="G601" s="378">
        <f t="shared" si="71"/>
        <v>0</v>
      </c>
      <c r="H601" s="375">
        <f t="shared" si="72"/>
        <v>0</v>
      </c>
      <c r="I601" s="376">
        <f t="shared" si="73"/>
        <v>0</v>
      </c>
      <c r="J601" s="41"/>
      <c r="K601" s="367"/>
      <c r="L601" s="520">
        <f t="shared" si="74"/>
      </c>
      <c r="M601" s="169"/>
      <c r="N601" s="199"/>
      <c r="O601" s="199"/>
    </row>
    <row r="602" spans="1:15" s="1" customFormat="1" ht="12.75">
      <c r="A602" s="224">
        <v>422217</v>
      </c>
      <c r="B602" s="9" t="s">
        <v>244</v>
      </c>
      <c r="C602" s="20"/>
      <c r="D602" s="40"/>
      <c r="E602" s="72"/>
      <c r="F602" s="95"/>
      <c r="G602" s="378">
        <f t="shared" si="71"/>
        <v>0</v>
      </c>
      <c r="H602" s="375">
        <f t="shared" si="72"/>
        <v>0</v>
      </c>
      <c r="I602" s="376">
        <f t="shared" si="73"/>
        <v>0</v>
      </c>
      <c r="J602" s="41"/>
      <c r="K602" s="367"/>
      <c r="L602" s="520">
        <f t="shared" si="74"/>
      </c>
      <c r="M602" s="169"/>
      <c r="N602" s="199"/>
      <c r="O602" s="199"/>
    </row>
    <row r="603" spans="1:15" s="1" customFormat="1" ht="12.75">
      <c r="A603" s="224">
        <v>422218</v>
      </c>
      <c r="B603" s="9" t="s">
        <v>245</v>
      </c>
      <c r="C603" s="20"/>
      <c r="D603" s="40"/>
      <c r="E603" s="72"/>
      <c r="F603" s="95"/>
      <c r="G603" s="378">
        <f t="shared" si="71"/>
        <v>0</v>
      </c>
      <c r="H603" s="375">
        <f t="shared" si="72"/>
        <v>0</v>
      </c>
      <c r="I603" s="376">
        <f t="shared" si="73"/>
        <v>0</v>
      </c>
      <c r="J603" s="41"/>
      <c r="K603" s="367"/>
      <c r="L603" s="520">
        <f t="shared" si="74"/>
      </c>
      <c r="M603" s="169"/>
      <c r="N603" s="199"/>
      <c r="O603" s="199"/>
    </row>
    <row r="604" spans="1:15" s="1" customFormat="1" ht="12.75">
      <c r="A604" s="224">
        <v>422219</v>
      </c>
      <c r="B604" s="9" t="s">
        <v>246</v>
      </c>
      <c r="C604" s="20"/>
      <c r="D604" s="40"/>
      <c r="E604" s="72"/>
      <c r="F604" s="95"/>
      <c r="G604" s="378">
        <f t="shared" si="71"/>
        <v>0</v>
      </c>
      <c r="H604" s="375">
        <f t="shared" si="72"/>
        <v>0</v>
      </c>
      <c r="I604" s="376">
        <f t="shared" si="73"/>
        <v>0</v>
      </c>
      <c r="J604" s="41"/>
      <c r="K604" s="367"/>
      <c r="L604" s="520">
        <f t="shared" si="74"/>
      </c>
      <c r="M604" s="169"/>
      <c r="N604" s="199"/>
      <c r="O604" s="199"/>
    </row>
    <row r="605" spans="1:15" s="1" customFormat="1" ht="12.75">
      <c r="A605" s="224">
        <v>422220</v>
      </c>
      <c r="B605" s="9" t="s">
        <v>247</v>
      </c>
      <c r="C605" s="20"/>
      <c r="D605" s="40"/>
      <c r="E605" s="72"/>
      <c r="F605" s="95"/>
      <c r="G605" s="378">
        <f t="shared" si="71"/>
        <v>0</v>
      </c>
      <c r="H605" s="375">
        <f t="shared" si="72"/>
        <v>0</v>
      </c>
      <c r="I605" s="376">
        <f t="shared" si="73"/>
        <v>0</v>
      </c>
      <c r="J605" s="41"/>
      <c r="K605" s="367"/>
      <c r="L605" s="520">
        <f t="shared" si="74"/>
      </c>
      <c r="M605" s="169"/>
      <c r="N605" s="199"/>
      <c r="O605" s="199"/>
    </row>
    <row r="606" spans="1:15" s="1" customFormat="1" ht="12.75">
      <c r="A606" s="224">
        <v>422221</v>
      </c>
      <c r="B606" s="9" t="s">
        <v>248</v>
      </c>
      <c r="C606" s="20"/>
      <c r="D606" s="40"/>
      <c r="E606" s="72"/>
      <c r="F606" s="95"/>
      <c r="G606" s="378">
        <f t="shared" si="71"/>
        <v>0</v>
      </c>
      <c r="H606" s="375">
        <f t="shared" si="72"/>
        <v>0</v>
      </c>
      <c r="I606" s="376">
        <f t="shared" si="73"/>
        <v>0</v>
      </c>
      <c r="J606" s="41"/>
      <c r="K606" s="367"/>
      <c r="L606" s="520">
        <f t="shared" si="74"/>
      </c>
      <c r="M606" s="169"/>
      <c r="N606" s="199"/>
      <c r="O606" s="199"/>
    </row>
    <row r="607" spans="1:15" s="1" customFormat="1" ht="12.75">
      <c r="A607" s="224">
        <v>422222</v>
      </c>
      <c r="B607" s="9" t="s">
        <v>249</v>
      </c>
      <c r="C607" s="20"/>
      <c r="D607" s="40"/>
      <c r="E607" s="72"/>
      <c r="F607" s="95"/>
      <c r="G607" s="378">
        <f t="shared" si="71"/>
        <v>0</v>
      </c>
      <c r="H607" s="375">
        <f t="shared" si="72"/>
        <v>0</v>
      </c>
      <c r="I607" s="376">
        <f t="shared" si="73"/>
        <v>0</v>
      </c>
      <c r="J607" s="41"/>
      <c r="K607" s="367"/>
      <c r="L607" s="520">
        <f t="shared" si="74"/>
      </c>
      <c r="M607" s="169"/>
      <c r="N607" s="199"/>
      <c r="O607" s="199"/>
    </row>
    <row r="608" spans="1:15" s="1" customFormat="1" ht="12.75">
      <c r="A608" s="224">
        <v>422223</v>
      </c>
      <c r="B608" s="9" t="s">
        <v>250</v>
      </c>
      <c r="C608" s="20"/>
      <c r="D608" s="40"/>
      <c r="E608" s="72"/>
      <c r="F608" s="95"/>
      <c r="G608" s="378">
        <f t="shared" si="71"/>
        <v>0</v>
      </c>
      <c r="H608" s="375">
        <f t="shared" si="72"/>
        <v>0</v>
      </c>
      <c r="I608" s="376">
        <f t="shared" si="73"/>
        <v>0</v>
      </c>
      <c r="J608" s="41"/>
      <c r="K608" s="367"/>
      <c r="L608" s="520">
        <f t="shared" si="74"/>
      </c>
      <c r="M608" s="169"/>
      <c r="N608" s="199"/>
      <c r="O608" s="199"/>
    </row>
    <row r="609" spans="1:15" s="1" customFormat="1" ht="12.75">
      <c r="A609" s="224">
        <v>422224</v>
      </c>
      <c r="B609" s="9" t="s">
        <v>251</v>
      </c>
      <c r="C609" s="20"/>
      <c r="D609" s="40"/>
      <c r="E609" s="72"/>
      <c r="F609" s="95"/>
      <c r="G609" s="378">
        <f t="shared" si="71"/>
        <v>0</v>
      </c>
      <c r="H609" s="375">
        <f t="shared" si="72"/>
        <v>0</v>
      </c>
      <c r="I609" s="376">
        <f t="shared" si="73"/>
        <v>0</v>
      </c>
      <c r="J609" s="41"/>
      <c r="K609" s="367"/>
      <c r="L609" s="520">
        <f t="shared" si="74"/>
      </c>
      <c r="M609" s="169"/>
      <c r="N609" s="199"/>
      <c r="O609" s="199"/>
    </row>
    <row r="610" spans="1:15" s="1" customFormat="1" ht="12.75">
      <c r="A610" s="224">
        <v>422225</v>
      </c>
      <c r="B610" s="9" t="s">
        <v>252</v>
      </c>
      <c r="C610" s="20"/>
      <c r="D610" s="40"/>
      <c r="E610" s="72"/>
      <c r="F610" s="95"/>
      <c r="G610" s="378">
        <f t="shared" si="71"/>
        <v>0</v>
      </c>
      <c r="H610" s="375">
        <f t="shared" si="72"/>
        <v>0</v>
      </c>
      <c r="I610" s="376">
        <f t="shared" si="73"/>
        <v>0</v>
      </c>
      <c r="J610" s="41"/>
      <c r="K610" s="367"/>
      <c r="L610" s="520">
        <f t="shared" si="74"/>
      </c>
      <c r="M610" s="169"/>
      <c r="N610" s="199"/>
      <c r="O610" s="199"/>
    </row>
    <row r="611" spans="1:15" s="1" customFormat="1" ht="12.75">
      <c r="A611" s="224">
        <v>422226</v>
      </c>
      <c r="B611" s="9" t="s">
        <v>253</v>
      </c>
      <c r="C611" s="20"/>
      <c r="D611" s="40"/>
      <c r="E611" s="72"/>
      <c r="F611" s="95"/>
      <c r="G611" s="378">
        <f t="shared" si="71"/>
        <v>0</v>
      </c>
      <c r="H611" s="375">
        <f t="shared" si="72"/>
        <v>0</v>
      </c>
      <c r="I611" s="376">
        <f t="shared" si="73"/>
        <v>0</v>
      </c>
      <c r="J611" s="41"/>
      <c r="K611" s="367"/>
      <c r="L611" s="520">
        <f t="shared" si="74"/>
      </c>
      <c r="M611" s="169"/>
      <c r="N611" s="199"/>
      <c r="O611" s="199"/>
    </row>
    <row r="612" spans="1:15" s="1" customFormat="1" ht="12.75">
      <c r="A612" s="224">
        <v>422227</v>
      </c>
      <c r="B612" s="9" t="s">
        <v>254</v>
      </c>
      <c r="C612" s="20"/>
      <c r="D612" s="40"/>
      <c r="E612" s="72"/>
      <c r="F612" s="95"/>
      <c r="G612" s="378">
        <f t="shared" si="71"/>
        <v>0</v>
      </c>
      <c r="H612" s="375">
        <f t="shared" si="72"/>
        <v>0</v>
      </c>
      <c r="I612" s="376">
        <f t="shared" si="73"/>
        <v>0</v>
      </c>
      <c r="J612" s="41"/>
      <c r="K612" s="367"/>
      <c r="L612" s="520">
        <f t="shared" si="74"/>
      </c>
      <c r="M612" s="169"/>
      <c r="N612" s="199"/>
      <c r="O612" s="199"/>
    </row>
    <row r="613" spans="1:15" s="1" customFormat="1" ht="12.75">
      <c r="A613" s="224">
        <v>422228</v>
      </c>
      <c r="B613" s="9" t="s">
        <v>255</v>
      </c>
      <c r="C613" s="20"/>
      <c r="D613" s="40"/>
      <c r="E613" s="72"/>
      <c r="F613" s="95"/>
      <c r="G613" s="378">
        <f t="shared" si="71"/>
        <v>0</v>
      </c>
      <c r="H613" s="375">
        <f t="shared" si="72"/>
        <v>0</v>
      </c>
      <c r="I613" s="376">
        <f t="shared" si="73"/>
        <v>0</v>
      </c>
      <c r="J613" s="41"/>
      <c r="K613" s="367"/>
      <c r="L613" s="520">
        <f t="shared" si="74"/>
      </c>
      <c r="M613" s="169"/>
      <c r="N613" s="199"/>
      <c r="O613" s="199"/>
    </row>
    <row r="614" spans="1:15" s="1" customFormat="1" ht="12.75">
      <c r="A614" s="224">
        <v>422229</v>
      </c>
      <c r="B614" s="9" t="s">
        <v>256</v>
      </c>
      <c r="C614" s="20"/>
      <c r="D614" s="40"/>
      <c r="E614" s="72"/>
      <c r="F614" s="95"/>
      <c r="G614" s="378">
        <f t="shared" si="71"/>
        <v>0</v>
      </c>
      <c r="H614" s="375">
        <f t="shared" si="72"/>
        <v>0</v>
      </c>
      <c r="I614" s="376">
        <f t="shared" si="73"/>
        <v>0</v>
      </c>
      <c r="J614" s="41"/>
      <c r="K614" s="367"/>
      <c r="L614" s="520">
        <f t="shared" si="74"/>
      </c>
      <c r="M614" s="169"/>
      <c r="N614" s="199"/>
      <c r="O614" s="199"/>
    </row>
    <row r="615" spans="1:15" s="1" customFormat="1" ht="12.75">
      <c r="A615" s="224">
        <v>422230</v>
      </c>
      <c r="B615" s="9" t="s">
        <v>750</v>
      </c>
      <c r="C615" s="20"/>
      <c r="D615" s="40"/>
      <c r="E615" s="72"/>
      <c r="F615" s="95"/>
      <c r="G615" s="378">
        <f t="shared" si="71"/>
        <v>0</v>
      </c>
      <c r="H615" s="375">
        <f t="shared" si="72"/>
        <v>0</v>
      </c>
      <c r="I615" s="376">
        <f t="shared" si="73"/>
        <v>0</v>
      </c>
      <c r="J615" s="41"/>
      <c r="K615" s="367"/>
      <c r="L615" s="520">
        <f t="shared" si="74"/>
      </c>
      <c r="M615" s="169"/>
      <c r="N615" s="199"/>
      <c r="O615" s="199"/>
    </row>
    <row r="616" spans="1:15" s="1" customFormat="1" ht="12.75">
      <c r="A616" s="224">
        <v>422231</v>
      </c>
      <c r="B616" s="9" t="s">
        <v>751</v>
      </c>
      <c r="C616" s="20"/>
      <c r="D616" s="40"/>
      <c r="E616" s="72"/>
      <c r="F616" s="95"/>
      <c r="G616" s="378">
        <f t="shared" si="71"/>
        <v>0</v>
      </c>
      <c r="H616" s="375">
        <f t="shared" si="72"/>
        <v>0</v>
      </c>
      <c r="I616" s="376">
        <f t="shared" si="73"/>
        <v>0</v>
      </c>
      <c r="J616" s="41"/>
      <c r="K616" s="367"/>
      <c r="L616" s="520">
        <f t="shared" si="74"/>
      </c>
      <c r="M616" s="169"/>
      <c r="N616" s="199"/>
      <c r="O616" s="199"/>
    </row>
    <row r="617" spans="1:15" s="1" customFormat="1" ht="12.75">
      <c r="A617" s="224">
        <v>422232</v>
      </c>
      <c r="B617" s="9" t="s">
        <v>752</v>
      </c>
      <c r="C617" s="20"/>
      <c r="D617" s="40"/>
      <c r="E617" s="72"/>
      <c r="F617" s="95"/>
      <c r="G617" s="378">
        <f t="shared" si="71"/>
        <v>0</v>
      </c>
      <c r="H617" s="375">
        <f t="shared" si="72"/>
        <v>0</v>
      </c>
      <c r="I617" s="376">
        <f t="shared" si="73"/>
        <v>0</v>
      </c>
      <c r="J617" s="41"/>
      <c r="K617" s="367"/>
      <c r="L617" s="520">
        <f t="shared" si="74"/>
      </c>
      <c r="M617" s="169"/>
      <c r="N617" s="199"/>
      <c r="O617" s="199"/>
    </row>
    <row r="618" spans="1:15" s="1" customFormat="1" ht="12.75">
      <c r="A618" s="224">
        <v>422233</v>
      </c>
      <c r="B618" s="9" t="s">
        <v>753</v>
      </c>
      <c r="C618" s="20"/>
      <c r="D618" s="40"/>
      <c r="E618" s="72"/>
      <c r="F618" s="95"/>
      <c r="G618" s="378">
        <f t="shared" si="71"/>
        <v>0</v>
      </c>
      <c r="H618" s="375">
        <f t="shared" si="72"/>
        <v>0</v>
      </c>
      <c r="I618" s="376">
        <f t="shared" si="73"/>
        <v>0</v>
      </c>
      <c r="J618" s="41"/>
      <c r="K618" s="367"/>
      <c r="L618" s="520">
        <f t="shared" si="74"/>
      </c>
      <c r="M618" s="169"/>
      <c r="N618" s="199"/>
      <c r="O618" s="199"/>
    </row>
    <row r="619" spans="1:15" s="1" customFormat="1" ht="12.75">
      <c r="A619" s="224">
        <v>422234</v>
      </c>
      <c r="B619" s="9" t="s">
        <v>754</v>
      </c>
      <c r="C619" s="20"/>
      <c r="D619" s="40"/>
      <c r="E619" s="72"/>
      <c r="F619" s="95"/>
      <c r="G619" s="378">
        <f t="shared" si="71"/>
        <v>0</v>
      </c>
      <c r="H619" s="375">
        <f t="shared" si="72"/>
        <v>0</v>
      </c>
      <c r="I619" s="376">
        <f t="shared" si="73"/>
        <v>0</v>
      </c>
      <c r="J619" s="41"/>
      <c r="K619" s="367"/>
      <c r="L619" s="520">
        <f t="shared" si="74"/>
      </c>
      <c r="M619" s="169"/>
      <c r="N619" s="199"/>
      <c r="O619" s="199"/>
    </row>
    <row r="620" spans="1:15" s="1" customFormat="1" ht="12.75">
      <c r="A620" s="224">
        <v>422235</v>
      </c>
      <c r="B620" s="9" t="s">
        <v>755</v>
      </c>
      <c r="C620" s="20"/>
      <c r="D620" s="40"/>
      <c r="E620" s="72"/>
      <c r="F620" s="95"/>
      <c r="G620" s="378">
        <f t="shared" si="71"/>
        <v>0</v>
      </c>
      <c r="H620" s="375">
        <f t="shared" si="72"/>
        <v>0</v>
      </c>
      <c r="I620" s="376">
        <f t="shared" si="73"/>
        <v>0</v>
      </c>
      <c r="J620" s="41"/>
      <c r="K620" s="367"/>
      <c r="L620" s="520">
        <f t="shared" si="74"/>
      </c>
      <c r="M620" s="169"/>
      <c r="N620" s="199"/>
      <c r="O620" s="199"/>
    </row>
    <row r="621" spans="1:15" s="1" customFormat="1" ht="12.75">
      <c r="A621" s="224">
        <v>422236</v>
      </c>
      <c r="B621" s="9" t="s">
        <v>756</v>
      </c>
      <c r="C621" s="20"/>
      <c r="D621" s="40"/>
      <c r="E621" s="72"/>
      <c r="F621" s="95"/>
      <c r="G621" s="378">
        <f t="shared" si="71"/>
        <v>0</v>
      </c>
      <c r="H621" s="375">
        <f t="shared" si="72"/>
        <v>0</v>
      </c>
      <c r="I621" s="376">
        <f t="shared" si="73"/>
        <v>0</v>
      </c>
      <c r="J621" s="41"/>
      <c r="K621" s="367"/>
      <c r="L621" s="520">
        <f t="shared" si="74"/>
      </c>
      <c r="M621" s="169"/>
      <c r="N621" s="199"/>
      <c r="O621" s="199"/>
    </row>
    <row r="622" spans="1:15" s="1" customFormat="1" ht="12.75">
      <c r="A622" s="224">
        <v>422237</v>
      </c>
      <c r="B622" s="9" t="s">
        <v>757</v>
      </c>
      <c r="C622" s="20"/>
      <c r="D622" s="40"/>
      <c r="E622" s="72"/>
      <c r="F622" s="95"/>
      <c r="G622" s="378">
        <f t="shared" si="71"/>
        <v>0</v>
      </c>
      <c r="H622" s="375">
        <f t="shared" si="72"/>
        <v>0</v>
      </c>
      <c r="I622" s="376">
        <f t="shared" si="73"/>
        <v>0</v>
      </c>
      <c r="J622" s="41"/>
      <c r="K622" s="367"/>
      <c r="L622" s="520">
        <f t="shared" si="74"/>
      </c>
      <c r="M622" s="169"/>
      <c r="N622" s="199"/>
      <c r="O622" s="199"/>
    </row>
    <row r="623" spans="1:15" s="1" customFormat="1" ht="12.75">
      <c r="A623" s="224">
        <v>422238</v>
      </c>
      <c r="B623" s="9" t="s">
        <v>758</v>
      </c>
      <c r="C623" s="20"/>
      <c r="D623" s="40"/>
      <c r="E623" s="72"/>
      <c r="F623" s="95"/>
      <c r="G623" s="378">
        <f t="shared" si="71"/>
        <v>0</v>
      </c>
      <c r="H623" s="375">
        <f t="shared" si="72"/>
        <v>0</v>
      </c>
      <c r="I623" s="376">
        <f t="shared" si="73"/>
        <v>0</v>
      </c>
      <c r="J623" s="41"/>
      <c r="K623" s="367"/>
      <c r="L623" s="520">
        <f t="shared" si="74"/>
      </c>
      <c r="M623" s="169"/>
      <c r="N623" s="199"/>
      <c r="O623" s="199"/>
    </row>
    <row r="624" spans="1:15" s="1" customFormat="1" ht="12.75">
      <c r="A624" s="224">
        <v>422239</v>
      </c>
      <c r="B624" s="9" t="s">
        <v>759</v>
      </c>
      <c r="C624" s="20"/>
      <c r="D624" s="40"/>
      <c r="E624" s="72"/>
      <c r="F624" s="95"/>
      <c r="G624" s="378">
        <f t="shared" si="71"/>
        <v>0</v>
      </c>
      <c r="H624" s="375">
        <f t="shared" si="72"/>
        <v>0</v>
      </c>
      <c r="I624" s="376">
        <f t="shared" si="73"/>
        <v>0</v>
      </c>
      <c r="J624" s="41"/>
      <c r="K624" s="367"/>
      <c r="L624" s="520">
        <f t="shared" si="74"/>
      </c>
      <c r="M624" s="169"/>
      <c r="N624" s="199"/>
      <c r="O624" s="199"/>
    </row>
    <row r="625" spans="1:15" s="1" customFormat="1" ht="12.75">
      <c r="A625" s="224">
        <v>422240</v>
      </c>
      <c r="B625" s="9" t="s">
        <v>257</v>
      </c>
      <c r="C625" s="20"/>
      <c r="D625" s="40"/>
      <c r="E625" s="72"/>
      <c r="F625" s="95"/>
      <c r="G625" s="378">
        <f t="shared" si="71"/>
        <v>0</v>
      </c>
      <c r="H625" s="375">
        <f t="shared" si="72"/>
        <v>0</v>
      </c>
      <c r="I625" s="376">
        <f t="shared" si="73"/>
        <v>0</v>
      </c>
      <c r="J625" s="41"/>
      <c r="K625" s="367"/>
      <c r="L625" s="520">
        <f t="shared" si="74"/>
      </c>
      <c r="M625" s="169"/>
      <c r="N625" s="199"/>
      <c r="O625" s="199"/>
    </row>
    <row r="626" spans="1:15" s="1" customFormat="1" ht="12.75">
      <c r="A626" s="224">
        <v>422245</v>
      </c>
      <c r="B626" s="9" t="s">
        <v>258</v>
      </c>
      <c r="C626" s="20"/>
      <c r="D626" s="40"/>
      <c r="E626" s="72"/>
      <c r="F626" s="95"/>
      <c r="G626" s="378">
        <f t="shared" si="71"/>
        <v>0</v>
      </c>
      <c r="H626" s="375">
        <f t="shared" si="72"/>
        <v>0</v>
      </c>
      <c r="I626" s="376">
        <f t="shared" si="73"/>
        <v>0</v>
      </c>
      <c r="J626" s="41"/>
      <c r="K626" s="367"/>
      <c r="L626" s="520">
        <f t="shared" si="74"/>
      </c>
      <c r="M626" s="169"/>
      <c r="N626" s="199"/>
      <c r="O626" s="199"/>
    </row>
    <row r="627" spans="1:15" s="1" customFormat="1" ht="12.75">
      <c r="A627" s="224">
        <v>422246</v>
      </c>
      <c r="B627" s="9" t="s">
        <v>259</v>
      </c>
      <c r="C627" s="20"/>
      <c r="D627" s="40"/>
      <c r="E627" s="72"/>
      <c r="F627" s="95"/>
      <c r="G627" s="378">
        <f t="shared" si="71"/>
        <v>0</v>
      </c>
      <c r="H627" s="375">
        <f t="shared" si="72"/>
        <v>0</v>
      </c>
      <c r="I627" s="376">
        <f t="shared" si="73"/>
        <v>0</v>
      </c>
      <c r="J627" s="41"/>
      <c r="K627" s="367"/>
      <c r="L627" s="520">
        <f t="shared" si="74"/>
      </c>
      <c r="M627" s="169"/>
      <c r="N627" s="199"/>
      <c r="O627" s="199"/>
    </row>
    <row r="628" spans="1:15" s="1" customFormat="1" ht="12.75">
      <c r="A628" s="224">
        <v>422247</v>
      </c>
      <c r="B628" s="9" t="s">
        <v>260</v>
      </c>
      <c r="C628" s="20"/>
      <c r="D628" s="40"/>
      <c r="E628" s="72"/>
      <c r="F628" s="95"/>
      <c r="G628" s="378">
        <f t="shared" si="71"/>
        <v>0</v>
      </c>
      <c r="H628" s="375">
        <f t="shared" si="72"/>
        <v>0</v>
      </c>
      <c r="I628" s="376">
        <f t="shared" si="73"/>
        <v>0</v>
      </c>
      <c r="J628" s="41"/>
      <c r="K628" s="367"/>
      <c r="L628" s="520">
        <f t="shared" si="74"/>
      </c>
      <c r="M628" s="169"/>
      <c r="N628" s="199"/>
      <c r="O628" s="199"/>
    </row>
    <row r="629" spans="1:15" s="1" customFormat="1" ht="12.75">
      <c r="A629" s="224">
        <v>422250</v>
      </c>
      <c r="B629" s="9" t="s">
        <v>261</v>
      </c>
      <c r="C629" s="20"/>
      <c r="D629" s="40"/>
      <c r="E629" s="72"/>
      <c r="F629" s="95"/>
      <c r="G629" s="378">
        <f t="shared" si="71"/>
        <v>0</v>
      </c>
      <c r="H629" s="375">
        <f t="shared" si="72"/>
        <v>0</v>
      </c>
      <c r="I629" s="376">
        <f t="shared" si="73"/>
        <v>0</v>
      </c>
      <c r="J629" s="41"/>
      <c r="K629" s="367"/>
      <c r="L629" s="520">
        <f t="shared" si="74"/>
      </c>
      <c r="M629" s="169"/>
      <c r="N629" s="199"/>
      <c r="O629" s="199"/>
    </row>
    <row r="630" spans="1:15" s="1" customFormat="1" ht="12.75">
      <c r="A630" s="224">
        <v>422264</v>
      </c>
      <c r="B630" s="9" t="s">
        <v>262</v>
      </c>
      <c r="C630" s="20"/>
      <c r="D630" s="40"/>
      <c r="E630" s="72"/>
      <c r="F630" s="95"/>
      <c r="G630" s="378">
        <f t="shared" si="71"/>
        <v>0</v>
      </c>
      <c r="H630" s="375">
        <f t="shared" si="72"/>
        <v>0</v>
      </c>
      <c r="I630" s="376">
        <f t="shared" si="73"/>
        <v>0</v>
      </c>
      <c r="J630" s="41"/>
      <c r="K630" s="367"/>
      <c r="L630" s="520">
        <f t="shared" si="74"/>
      </c>
      <c r="M630" s="169"/>
      <c r="N630" s="199"/>
      <c r="O630" s="199"/>
    </row>
    <row r="631" spans="1:15" s="1" customFormat="1" ht="12.75">
      <c r="A631" s="224">
        <v>422265</v>
      </c>
      <c r="B631" s="9" t="s">
        <v>263</v>
      </c>
      <c r="C631" s="20"/>
      <c r="D631" s="40"/>
      <c r="E631" s="72"/>
      <c r="F631" s="95"/>
      <c r="G631" s="378">
        <f t="shared" si="71"/>
        <v>0</v>
      </c>
      <c r="H631" s="375">
        <f t="shared" si="72"/>
        <v>0</v>
      </c>
      <c r="I631" s="376">
        <f t="shared" si="73"/>
        <v>0</v>
      </c>
      <c r="J631" s="41"/>
      <c r="K631" s="367"/>
      <c r="L631" s="520">
        <f t="shared" si="74"/>
      </c>
      <c r="M631" s="169"/>
      <c r="N631" s="199"/>
      <c r="O631" s="199"/>
    </row>
    <row r="632" spans="1:15" s="1" customFormat="1" ht="12.75">
      <c r="A632" s="224">
        <v>422270</v>
      </c>
      <c r="B632" s="9" t="s">
        <v>264</v>
      </c>
      <c r="C632" s="20"/>
      <c r="D632" s="40"/>
      <c r="E632" s="72"/>
      <c r="F632" s="95"/>
      <c r="G632" s="378">
        <f t="shared" si="71"/>
        <v>0</v>
      </c>
      <c r="H632" s="375">
        <f t="shared" si="72"/>
        <v>0</v>
      </c>
      <c r="I632" s="376">
        <f t="shared" si="73"/>
        <v>0</v>
      </c>
      <c r="J632" s="41"/>
      <c r="K632" s="367"/>
      <c r="L632" s="520">
        <f t="shared" si="74"/>
      </c>
      <c r="M632" s="169"/>
      <c r="N632" s="199"/>
      <c r="O632" s="199"/>
    </row>
    <row r="633" spans="1:15" s="1" customFormat="1" ht="12.75">
      <c r="A633" s="224">
        <v>422271</v>
      </c>
      <c r="B633" s="9" t="s">
        <v>265</v>
      </c>
      <c r="C633" s="20"/>
      <c r="D633" s="40"/>
      <c r="E633" s="72"/>
      <c r="F633" s="95"/>
      <c r="G633" s="378">
        <f t="shared" si="71"/>
        <v>0</v>
      </c>
      <c r="H633" s="375">
        <f t="shared" si="72"/>
        <v>0</v>
      </c>
      <c r="I633" s="376">
        <f t="shared" si="73"/>
        <v>0</v>
      </c>
      <c r="J633" s="41"/>
      <c r="K633" s="367"/>
      <c r="L633" s="520">
        <f t="shared" si="74"/>
      </c>
      <c r="M633" s="169"/>
      <c r="N633" s="199"/>
      <c r="O633" s="199"/>
    </row>
    <row r="634" spans="1:15" s="1" customFormat="1" ht="12.75">
      <c r="A634" s="224">
        <v>422280</v>
      </c>
      <c r="B634" s="9" t="s">
        <v>266</v>
      </c>
      <c r="C634" s="20"/>
      <c r="D634" s="40"/>
      <c r="E634" s="72"/>
      <c r="F634" s="95"/>
      <c r="G634" s="378">
        <f t="shared" si="71"/>
        <v>0</v>
      </c>
      <c r="H634" s="375">
        <f t="shared" si="72"/>
        <v>0</v>
      </c>
      <c r="I634" s="376">
        <f t="shared" si="73"/>
        <v>0</v>
      </c>
      <c r="J634" s="41"/>
      <c r="K634" s="367"/>
      <c r="L634" s="520">
        <f t="shared" si="74"/>
      </c>
      <c r="M634" s="169"/>
      <c r="N634" s="199"/>
      <c r="O634" s="199"/>
    </row>
    <row r="635" spans="1:15" s="1" customFormat="1" ht="12.75">
      <c r="A635" s="224">
        <v>422281</v>
      </c>
      <c r="B635" s="9" t="s">
        <v>267</v>
      </c>
      <c r="C635" s="20"/>
      <c r="D635" s="40"/>
      <c r="E635" s="72"/>
      <c r="F635" s="95"/>
      <c r="G635" s="378">
        <f t="shared" si="71"/>
        <v>0</v>
      </c>
      <c r="H635" s="375">
        <f t="shared" si="72"/>
        <v>0</v>
      </c>
      <c r="I635" s="376">
        <f t="shared" si="73"/>
        <v>0</v>
      </c>
      <c r="J635" s="41"/>
      <c r="K635" s="367"/>
      <c r="L635" s="520">
        <f t="shared" si="74"/>
      </c>
      <c r="M635" s="169"/>
      <c r="N635" s="199"/>
      <c r="O635" s="199"/>
    </row>
    <row r="636" spans="1:15" s="1" customFormat="1" ht="12.75">
      <c r="A636" s="224">
        <v>422282</v>
      </c>
      <c r="B636" s="9" t="s">
        <v>268</v>
      </c>
      <c r="C636" s="20"/>
      <c r="D636" s="40"/>
      <c r="E636" s="72"/>
      <c r="F636" s="95"/>
      <c r="G636" s="378">
        <f t="shared" si="71"/>
        <v>0</v>
      </c>
      <c r="H636" s="375">
        <f t="shared" si="72"/>
        <v>0</v>
      </c>
      <c r="I636" s="376">
        <f t="shared" si="73"/>
        <v>0</v>
      </c>
      <c r="J636" s="41"/>
      <c r="K636" s="367"/>
      <c r="L636" s="520">
        <f t="shared" si="74"/>
      </c>
      <c r="M636" s="169"/>
      <c r="N636" s="199"/>
      <c r="O636" s="199"/>
    </row>
    <row r="637" spans="1:15" s="1" customFormat="1" ht="12.75">
      <c r="A637" s="224">
        <v>422283</v>
      </c>
      <c r="B637" s="9" t="s">
        <v>269</v>
      </c>
      <c r="C637" s="20"/>
      <c r="D637" s="40"/>
      <c r="E637" s="72"/>
      <c r="F637" s="95"/>
      <c r="G637" s="378">
        <f t="shared" si="71"/>
        <v>0</v>
      </c>
      <c r="H637" s="375">
        <f t="shared" si="72"/>
        <v>0</v>
      </c>
      <c r="I637" s="376">
        <f t="shared" si="73"/>
        <v>0</v>
      </c>
      <c r="J637" s="41"/>
      <c r="K637" s="367"/>
      <c r="L637" s="520">
        <f t="shared" si="74"/>
      </c>
      <c r="M637" s="169"/>
      <c r="N637" s="199"/>
      <c r="O637" s="199"/>
    </row>
    <row r="638" spans="1:15" s="1" customFormat="1" ht="12.75">
      <c r="A638" s="224">
        <v>422293</v>
      </c>
      <c r="B638" s="9" t="s">
        <v>768</v>
      </c>
      <c r="C638" s="20"/>
      <c r="D638" s="40"/>
      <c r="E638" s="72"/>
      <c r="F638" s="95"/>
      <c r="G638" s="378">
        <f t="shared" si="71"/>
        <v>0</v>
      </c>
      <c r="H638" s="375">
        <f t="shared" si="72"/>
        <v>0</v>
      </c>
      <c r="I638" s="376">
        <f t="shared" si="73"/>
        <v>0</v>
      </c>
      <c r="J638" s="41"/>
      <c r="K638" s="367"/>
      <c r="L638" s="520">
        <f t="shared" si="74"/>
      </c>
      <c r="M638" s="169"/>
      <c r="N638" s="199"/>
      <c r="O638" s="199"/>
    </row>
    <row r="639" spans="1:15" s="1" customFormat="1" ht="12.75">
      <c r="A639" s="224">
        <v>424095</v>
      </c>
      <c r="B639" s="9" t="s">
        <v>554</v>
      </c>
      <c r="C639" s="20"/>
      <c r="D639" s="37"/>
      <c r="E639" s="73"/>
      <c r="F639" s="94"/>
      <c r="G639" s="384">
        <f>SUM(I586:I638)</f>
        <v>0</v>
      </c>
      <c r="H639" s="38"/>
      <c r="I639" s="39" t="s">
        <v>555</v>
      </c>
      <c r="J639" s="39"/>
      <c r="K639" s="572"/>
      <c r="L639" s="520"/>
      <c r="M639" s="169"/>
      <c r="N639" s="199"/>
      <c r="O639" s="199"/>
    </row>
    <row r="640" spans="1:15" s="1" customFormat="1" ht="12.75">
      <c r="A640" s="224">
        <v>427210</v>
      </c>
      <c r="B640" s="218" t="s">
        <v>270</v>
      </c>
      <c r="C640" s="219"/>
      <c r="D640" s="220"/>
      <c r="E640" s="220"/>
      <c r="F640" s="221"/>
      <c r="G640" s="379">
        <f t="shared" si="71"/>
        <v>0</v>
      </c>
      <c r="H640" s="38"/>
      <c r="I640" s="41"/>
      <c r="J640" s="41"/>
      <c r="K640" s="367"/>
      <c r="L640" s="520">
        <f t="shared" si="74"/>
      </c>
      <c r="M640" s="169"/>
      <c r="N640" s="199"/>
      <c r="O640" s="199"/>
    </row>
    <row r="641" spans="1:15" s="1" customFormat="1" ht="13.5" thickBot="1">
      <c r="A641" s="231" t="s">
        <v>401</v>
      </c>
      <c r="B641" s="6"/>
      <c r="C641" s="22"/>
      <c r="D641" s="44"/>
      <c r="E641" s="71"/>
      <c r="F641" s="90" t="s">
        <v>570</v>
      </c>
      <c r="G641" s="383">
        <f>SUM(G586:G640)</f>
        <v>0</v>
      </c>
      <c r="H641" s="38"/>
      <c r="I641" s="44"/>
      <c r="J641" s="44"/>
      <c r="K641" s="366"/>
      <c r="L641" s="383">
        <f>SUM(L586:L640)</f>
        <v>0</v>
      </c>
      <c r="M641" s="169"/>
      <c r="N641" s="199"/>
      <c r="O641" s="199"/>
    </row>
    <row r="642" spans="1:15" s="1" customFormat="1" ht="0.75" customHeight="1" thickTop="1">
      <c r="A642" s="226"/>
      <c r="C642" s="21"/>
      <c r="D642" s="44"/>
      <c r="E642" s="71"/>
      <c r="F642" s="90"/>
      <c r="G642" s="41"/>
      <c r="H642" s="38"/>
      <c r="I642" s="41"/>
      <c r="J642" s="41"/>
      <c r="K642" s="366"/>
      <c r="L642" s="516"/>
      <c r="M642" s="169"/>
      <c r="N642" s="199"/>
      <c r="O642" s="199"/>
    </row>
    <row r="643" spans="1:15" s="1" customFormat="1" ht="24.75" customHeight="1" thickTop="1">
      <c r="A643" s="228" t="s">
        <v>620</v>
      </c>
      <c r="B643" s="16"/>
      <c r="C643" s="21"/>
      <c r="D643" s="171" t="s">
        <v>422</v>
      </c>
      <c r="E643" s="172" t="s">
        <v>423</v>
      </c>
      <c r="F643" s="171" t="s">
        <v>424</v>
      </c>
      <c r="G643" s="171" t="s">
        <v>425</v>
      </c>
      <c r="H643" s="171" t="s">
        <v>426</v>
      </c>
      <c r="I643" s="173" t="s">
        <v>427</v>
      </c>
      <c r="J643" s="173"/>
      <c r="K643" s="366"/>
      <c r="L643" s="518" t="s">
        <v>688</v>
      </c>
      <c r="M643" s="169"/>
      <c r="N643" s="199"/>
      <c r="O643" s="199"/>
    </row>
    <row r="644" spans="1:15" s="1" customFormat="1" ht="12.75">
      <c r="A644" s="224">
        <v>442410</v>
      </c>
      <c r="B644" s="11" t="s">
        <v>407</v>
      </c>
      <c r="C644" s="20"/>
      <c r="D644" s="72"/>
      <c r="E644" s="72"/>
      <c r="F644" s="95"/>
      <c r="G644" s="377">
        <f>IF(X=0,(IF(Me=0,Sa,Me*Sa)),(IF(Me=0,Sa*X,Me*X*Sa)))</f>
        <v>0</v>
      </c>
      <c r="H644" s="375">
        <f>IF(Sum,Sos,0)</f>
        <v>0</v>
      </c>
      <c r="I644" s="376">
        <f>IF(Prosent&lt;&gt;0,(Sum*Prosent)/100,0)</f>
        <v>0</v>
      </c>
      <c r="J644" s="41"/>
      <c r="K644" s="367"/>
      <c r="L644" s="520">
        <f aca="true" t="shared" si="75" ref="L644:L664">IF(FMVA&lt;&gt;"",(Sum*mva)-Sum,"")</f>
      </c>
      <c r="M644" s="169"/>
      <c r="N644" s="199"/>
      <c r="O644" s="199"/>
    </row>
    <row r="645" spans="1:15" s="1" customFormat="1" ht="12.75">
      <c r="A645" s="224">
        <v>442411</v>
      </c>
      <c r="B645" s="17" t="s">
        <v>408</v>
      </c>
      <c r="C645" s="20"/>
      <c r="D645" s="55"/>
      <c r="E645" s="72"/>
      <c r="F645" s="381">
        <f>IF(D645=0,0,+G644)</f>
        <v>0</v>
      </c>
      <c r="G645" s="378">
        <f>IF(X=0,(IF(Me=0,Sa,Me*Sa)),(IF(Me=0,Sa*X,Me*X*Sa)))</f>
        <v>0</v>
      </c>
      <c r="H645" s="375">
        <f>IF(Sum,Sos,0)</f>
        <v>0</v>
      </c>
      <c r="I645" s="376">
        <f>IF(Prosent&lt;&gt;0,(Sum*Prosent)/100,0)</f>
        <v>0</v>
      </c>
      <c r="J645" s="41"/>
      <c r="K645" s="367"/>
      <c r="L645" s="520">
        <f t="shared" si="75"/>
      </c>
      <c r="M645" s="169"/>
      <c r="N645" s="199"/>
      <c r="O645" s="199"/>
    </row>
    <row r="646" spans="1:15" s="1" customFormat="1" ht="12.75">
      <c r="A646" s="224">
        <v>442426</v>
      </c>
      <c r="B646" s="17" t="s">
        <v>405</v>
      </c>
      <c r="C646" s="20"/>
      <c r="D646" s="72"/>
      <c r="E646" s="72"/>
      <c r="F646" s="95"/>
      <c r="G646" s="378">
        <f>IF(X=0,(IF(Me=0,Sa,Me*Sa)),(IF(Me=0,Sa*X,Me*X*Sa)))</f>
        <v>0</v>
      </c>
      <c r="H646" s="375">
        <f>IF(Sum,Sos,0)</f>
        <v>0</v>
      </c>
      <c r="I646" s="376">
        <f>IF(Prosent&lt;&gt;0,(Sum*Prosent)/100,0)</f>
        <v>0</v>
      </c>
      <c r="J646" s="41"/>
      <c r="K646" s="367"/>
      <c r="L646" s="520">
        <f t="shared" si="75"/>
      </c>
      <c r="M646" s="169"/>
      <c r="N646" s="199"/>
      <c r="O646" s="199"/>
    </row>
    <row r="647" spans="1:15" s="1" customFormat="1" ht="12.75">
      <c r="A647" s="224">
        <v>442427</v>
      </c>
      <c r="B647" s="17" t="s">
        <v>406</v>
      </c>
      <c r="C647" s="20"/>
      <c r="D647" s="55"/>
      <c r="E647" s="72"/>
      <c r="F647" s="381">
        <f>IF(D647=0,0,+G646)</f>
        <v>0</v>
      </c>
      <c r="G647" s="378">
        <f>IF(X=0,(IF(Me=0,Sa,Me*Sa)),(IF(Me=0,Sa*X,Me*X*Sa)))</f>
        <v>0</v>
      </c>
      <c r="H647" s="375">
        <f>IF(Sum,Sos,0)</f>
        <v>0</v>
      </c>
      <c r="I647" s="376">
        <f>IF(Prosent&lt;&gt;0,(Sum*Prosent)/100,0)</f>
        <v>0</v>
      </c>
      <c r="J647" s="41"/>
      <c r="K647" s="367"/>
      <c r="L647" s="520">
        <f t="shared" si="75"/>
      </c>
      <c r="M647" s="169"/>
      <c r="N647" s="199"/>
      <c r="O647" s="199"/>
    </row>
    <row r="648" spans="1:15" s="1" customFormat="1" ht="12.75">
      <c r="A648" s="224">
        <v>444092</v>
      </c>
      <c r="B648" s="17" t="s">
        <v>590</v>
      </c>
      <c r="C648" s="20"/>
      <c r="D648" s="72"/>
      <c r="E648" s="72"/>
      <c r="F648" s="95"/>
      <c r="G648" s="378">
        <f>IF(X=0,(IF(Me=0,Sa,Me*Sa)),(IF(Me=0,Sa*X,Me*X*Sa)))</f>
        <v>0</v>
      </c>
      <c r="H648" s="375">
        <f>IF(Sum,Sos,0)</f>
        <v>0</v>
      </c>
      <c r="I648" s="376">
        <f>IF(Prosent&lt;&gt;0,(Sum*Prosent)/100,0)</f>
        <v>0</v>
      </c>
      <c r="J648" s="41"/>
      <c r="K648" s="367"/>
      <c r="L648" s="520">
        <f t="shared" si="75"/>
      </c>
      <c r="M648" s="169"/>
      <c r="N648" s="199"/>
      <c r="O648" s="199"/>
    </row>
    <row r="649" spans="1:15" s="1" customFormat="1" ht="12.75">
      <c r="A649" s="224">
        <v>444095</v>
      </c>
      <c r="B649" s="9" t="s">
        <v>554</v>
      </c>
      <c r="C649" s="20"/>
      <c r="D649" s="73"/>
      <c r="E649" s="73"/>
      <c r="F649" s="94"/>
      <c r="G649" s="384">
        <f>SUM(I644:I648)</f>
        <v>0</v>
      </c>
      <c r="H649" s="38"/>
      <c r="I649" s="39" t="s">
        <v>555</v>
      </c>
      <c r="J649" s="39"/>
      <c r="K649" s="572"/>
      <c r="L649" s="520"/>
      <c r="M649" s="169"/>
      <c r="N649" s="199"/>
      <c r="O649" s="199"/>
    </row>
    <row r="650" spans="1:15" s="1" customFormat="1" ht="12.75">
      <c r="A650" s="224">
        <v>449070</v>
      </c>
      <c r="B650" s="9" t="s">
        <v>565</v>
      </c>
      <c r="C650" s="20" t="s">
        <v>368</v>
      </c>
      <c r="D650" s="73"/>
      <c r="E650" s="73"/>
      <c r="F650" s="94"/>
      <c r="G650" s="378">
        <f>SPESIFIKASJONER!F24</f>
        <v>0</v>
      </c>
      <c r="H650" s="38"/>
      <c r="I650" s="41"/>
      <c r="J650" s="41"/>
      <c r="K650" s="367"/>
      <c r="L650" s="520">
        <f>SPESIFIKASJONER!I24</f>
        <v>0</v>
      </c>
      <c r="M650" s="169"/>
      <c r="N650" s="199"/>
      <c r="O650" s="199"/>
    </row>
    <row r="651" spans="1:15" s="1" customFormat="1" ht="12.75">
      <c r="A651" s="224">
        <v>449072</v>
      </c>
      <c r="B651" s="9" t="s">
        <v>566</v>
      </c>
      <c r="C651" s="20" t="s">
        <v>368</v>
      </c>
      <c r="D651" s="73"/>
      <c r="E651" s="73"/>
      <c r="F651" s="94"/>
      <c r="G651" s="378">
        <f>SPESIFIKASJONER!F48</f>
        <v>0</v>
      </c>
      <c r="H651" s="38"/>
      <c r="I651" s="41"/>
      <c r="J651" s="41"/>
      <c r="K651" s="367"/>
      <c r="L651" s="520">
        <f>SPESIFIKASJONER!I48</f>
        <v>0</v>
      </c>
      <c r="M651" s="169"/>
      <c r="N651" s="199"/>
      <c r="O651" s="199"/>
    </row>
    <row r="652" spans="1:15" s="1" customFormat="1" ht="12.75">
      <c r="A652" s="224">
        <v>449073</v>
      </c>
      <c r="B652" s="9" t="s">
        <v>567</v>
      </c>
      <c r="C652" s="20" t="s">
        <v>368</v>
      </c>
      <c r="D652" s="73"/>
      <c r="E652" s="73"/>
      <c r="F652" s="94"/>
      <c r="G652" s="378">
        <f>SPESIFIKASJONER!F72</f>
        <v>0</v>
      </c>
      <c r="H652" s="38"/>
      <c r="I652" s="41"/>
      <c r="J652" s="41"/>
      <c r="K652" s="367"/>
      <c r="L652" s="520">
        <f>SPESIFIKASJONER!I72</f>
        <v>0</v>
      </c>
      <c r="M652" s="169"/>
      <c r="N652" s="199"/>
      <c r="O652" s="199"/>
    </row>
    <row r="653" spans="1:15" s="1" customFormat="1" ht="12.75">
      <c r="A653" s="224">
        <v>449081</v>
      </c>
      <c r="B653" s="9" t="s">
        <v>599</v>
      </c>
      <c r="C653" s="20" t="s">
        <v>368</v>
      </c>
      <c r="D653" s="73"/>
      <c r="E653" s="73"/>
      <c r="F653" s="94"/>
      <c r="G653" s="378">
        <f>SPESIFIKASJONER!F96</f>
        <v>0</v>
      </c>
      <c r="H653" s="38"/>
      <c r="I653" s="41"/>
      <c r="J653" s="41"/>
      <c r="K653" s="367"/>
      <c r="L653" s="520">
        <f>SPESIFIKASJONER!I96</f>
        <v>0</v>
      </c>
      <c r="M653" s="169"/>
      <c r="N653" s="199"/>
      <c r="O653" s="199"/>
    </row>
    <row r="654" spans="1:15" s="1" customFormat="1" ht="12.75">
      <c r="A654" s="224">
        <v>449082</v>
      </c>
      <c r="B654" s="9" t="s">
        <v>600</v>
      </c>
      <c r="C654" s="20"/>
      <c r="D654" s="72"/>
      <c r="E654" s="72"/>
      <c r="F654" s="95"/>
      <c r="G654" s="378">
        <f aca="true" t="shared" si="76" ref="G654:G664">IF(X=0,(IF(Me=0,Sa,Me*Sa)),(IF(Me=0,Sa*X,Me*X*Sa)))</f>
        <v>0</v>
      </c>
      <c r="H654" s="38"/>
      <c r="I654" s="41"/>
      <c r="J654" s="41"/>
      <c r="K654" s="367"/>
      <c r="L654" s="520">
        <f t="shared" si="75"/>
      </c>
      <c r="M654" s="169"/>
      <c r="N654" s="199"/>
      <c r="O654" s="199"/>
    </row>
    <row r="655" spans="1:15" s="1" customFormat="1" ht="12.75">
      <c r="A655" s="224">
        <v>449083</v>
      </c>
      <c r="B655" s="13" t="s">
        <v>601</v>
      </c>
      <c r="C655" s="20"/>
      <c r="D655" s="72"/>
      <c r="E655" s="72"/>
      <c r="F655" s="95"/>
      <c r="G655" s="378">
        <f t="shared" si="76"/>
        <v>0</v>
      </c>
      <c r="H655" s="38"/>
      <c r="I655" s="41"/>
      <c r="J655" s="41"/>
      <c r="K655" s="367"/>
      <c r="L655" s="520">
        <f t="shared" si="75"/>
      </c>
      <c r="M655" s="169"/>
      <c r="N655" s="199"/>
      <c r="O655" s="199"/>
    </row>
    <row r="656" spans="1:15" s="1" customFormat="1" ht="12.75">
      <c r="A656" s="224">
        <v>449084</v>
      </c>
      <c r="B656" s="9" t="s">
        <v>602</v>
      </c>
      <c r="C656" s="20"/>
      <c r="D656" s="72"/>
      <c r="E656" s="72"/>
      <c r="F656" s="95"/>
      <c r="G656" s="378">
        <f t="shared" si="76"/>
        <v>0</v>
      </c>
      <c r="H656" s="38"/>
      <c r="I656" s="41"/>
      <c r="J656" s="41"/>
      <c r="K656" s="367"/>
      <c r="L656" s="520">
        <f t="shared" si="75"/>
      </c>
      <c r="M656" s="169"/>
      <c r="N656" s="199"/>
      <c r="O656" s="199"/>
    </row>
    <row r="657" spans="1:15" s="1" customFormat="1" ht="12.75">
      <c r="A657" s="224">
        <v>449085</v>
      </c>
      <c r="B657" s="9" t="s">
        <v>603</v>
      </c>
      <c r="C657" s="20"/>
      <c r="D657" s="72"/>
      <c r="E657" s="72"/>
      <c r="F657" s="95"/>
      <c r="G657" s="378">
        <f t="shared" si="76"/>
        <v>0</v>
      </c>
      <c r="H657" s="38"/>
      <c r="I657" s="41"/>
      <c r="J657" s="41"/>
      <c r="K657" s="367"/>
      <c r="L657" s="520">
        <f t="shared" si="75"/>
      </c>
      <c r="M657" s="169"/>
      <c r="N657" s="199"/>
      <c r="O657" s="199"/>
    </row>
    <row r="658" spans="1:15" s="1" customFormat="1" ht="12.75">
      <c r="A658" s="224">
        <v>449090</v>
      </c>
      <c r="B658" s="9" t="s">
        <v>604</v>
      </c>
      <c r="C658" s="20"/>
      <c r="D658" s="72"/>
      <c r="E658" s="72"/>
      <c r="F658" s="95"/>
      <c r="G658" s="378">
        <f t="shared" si="76"/>
        <v>0</v>
      </c>
      <c r="H658" s="38"/>
      <c r="I658" s="41"/>
      <c r="J658" s="41"/>
      <c r="K658" s="367"/>
      <c r="L658" s="520">
        <f t="shared" si="75"/>
      </c>
      <c r="M658" s="169"/>
      <c r="N658" s="199"/>
      <c r="O658" s="199"/>
    </row>
    <row r="659" spans="1:15" s="1" customFormat="1" ht="12.75">
      <c r="A659" s="224">
        <v>449091</v>
      </c>
      <c r="B659" s="9" t="s">
        <v>605</v>
      </c>
      <c r="C659" s="20"/>
      <c r="D659" s="72"/>
      <c r="E659" s="72"/>
      <c r="F659" s="95"/>
      <c r="G659" s="378">
        <f t="shared" si="76"/>
        <v>0</v>
      </c>
      <c r="H659" s="38"/>
      <c r="I659" s="41"/>
      <c r="J659" s="41"/>
      <c r="K659" s="367"/>
      <c r="L659" s="520">
        <f t="shared" si="75"/>
      </c>
      <c r="M659" s="169"/>
      <c r="N659" s="199"/>
      <c r="O659" s="199"/>
    </row>
    <row r="660" spans="1:15" s="1" customFormat="1" ht="12.75">
      <c r="A660" s="224">
        <v>449092</v>
      </c>
      <c r="B660" s="9" t="s">
        <v>606</v>
      </c>
      <c r="C660" s="20"/>
      <c r="D660" s="72"/>
      <c r="E660" s="72"/>
      <c r="F660" s="95"/>
      <c r="G660" s="378">
        <f t="shared" si="76"/>
        <v>0</v>
      </c>
      <c r="H660" s="38"/>
      <c r="I660" s="41"/>
      <c r="J660" s="41"/>
      <c r="K660" s="367"/>
      <c r="L660" s="520">
        <f t="shared" si="75"/>
      </c>
      <c r="M660" s="169"/>
      <c r="N660" s="199"/>
      <c r="O660" s="199"/>
    </row>
    <row r="661" spans="1:15" s="1" customFormat="1" ht="12.75">
      <c r="A661" s="224">
        <v>449093</v>
      </c>
      <c r="B661" s="9" t="s">
        <v>569</v>
      </c>
      <c r="C661" s="20" t="s">
        <v>368</v>
      </c>
      <c r="D661" s="73"/>
      <c r="E661" s="73"/>
      <c r="F661" s="94"/>
      <c r="G661" s="378">
        <f>SPESIFIKASJONER!F120</f>
        <v>0</v>
      </c>
      <c r="H661" s="38"/>
      <c r="I661" s="41"/>
      <c r="J661" s="41"/>
      <c r="K661" s="367"/>
      <c r="L661" s="520">
        <f>SPESIFIKASJONER!I120</f>
        <v>0</v>
      </c>
      <c r="M661" s="169"/>
      <c r="N661" s="199"/>
      <c r="O661" s="199"/>
    </row>
    <row r="662" spans="1:15" s="1" customFormat="1" ht="12.75">
      <c r="A662" s="224">
        <v>449096</v>
      </c>
      <c r="B662" s="9" t="s">
        <v>271</v>
      </c>
      <c r="C662" s="20"/>
      <c r="D662" s="72"/>
      <c r="E662" s="72"/>
      <c r="F662" s="95"/>
      <c r="G662" s="378">
        <f t="shared" si="76"/>
        <v>0</v>
      </c>
      <c r="H662" s="38"/>
      <c r="I662" s="41"/>
      <c r="J662" s="41"/>
      <c r="K662" s="367"/>
      <c r="L662" s="520">
        <f t="shared" si="75"/>
      </c>
      <c r="M662" s="169"/>
      <c r="N662" s="199"/>
      <c r="O662" s="199"/>
    </row>
    <row r="663" spans="1:15" s="1" customFormat="1" ht="12.75">
      <c r="A663" s="224">
        <v>449098</v>
      </c>
      <c r="B663" s="9" t="s">
        <v>25</v>
      </c>
      <c r="C663" s="20" t="s">
        <v>368</v>
      </c>
      <c r="D663" s="73"/>
      <c r="E663" s="73"/>
      <c r="F663" s="94"/>
      <c r="G663" s="378">
        <f>SPESIFIKASJONER!F144</f>
        <v>0</v>
      </c>
      <c r="H663" s="38"/>
      <c r="I663" s="41"/>
      <c r="J663" s="41"/>
      <c r="K663" s="367"/>
      <c r="L663" s="520">
        <f>SPESIFIKASJONER!I144</f>
        <v>0</v>
      </c>
      <c r="M663" s="169"/>
      <c r="N663" s="199"/>
      <c r="O663" s="199"/>
    </row>
    <row r="664" spans="1:15" s="1" customFormat="1" ht="12.75">
      <c r="A664" s="224">
        <v>449099</v>
      </c>
      <c r="B664" s="218" t="s">
        <v>26</v>
      </c>
      <c r="C664" s="219"/>
      <c r="D664" s="220"/>
      <c r="E664" s="220"/>
      <c r="F664" s="221"/>
      <c r="G664" s="379">
        <f t="shared" si="76"/>
        <v>0</v>
      </c>
      <c r="H664" s="38"/>
      <c r="I664" s="41"/>
      <c r="J664" s="41"/>
      <c r="K664" s="367"/>
      <c r="L664" s="520">
        <f t="shared" si="75"/>
      </c>
      <c r="M664" s="169"/>
      <c r="N664" s="199"/>
      <c r="O664" s="199"/>
    </row>
    <row r="665" spans="1:15" s="1" customFormat="1" ht="13.5" thickBot="1">
      <c r="A665" s="231" t="s">
        <v>401</v>
      </c>
      <c r="B665" s="6"/>
      <c r="C665" s="22"/>
      <c r="D665" s="44"/>
      <c r="E665" s="71"/>
      <c r="F665" s="90" t="s">
        <v>570</v>
      </c>
      <c r="G665" s="383">
        <f>SUM(G644:G664)</f>
        <v>0</v>
      </c>
      <c r="H665" s="38"/>
      <c r="I665" s="44"/>
      <c r="J665" s="44"/>
      <c r="K665" s="366"/>
      <c r="L665" s="383">
        <f>SUM(L644:L664)</f>
        <v>0</v>
      </c>
      <c r="M665" s="169"/>
      <c r="N665" s="199"/>
      <c r="O665" s="199"/>
    </row>
    <row r="666" spans="1:15" s="1" customFormat="1" ht="0.75" customHeight="1" thickTop="1">
      <c r="A666" s="226"/>
      <c r="C666" s="21"/>
      <c r="D666" s="44"/>
      <c r="E666" s="71"/>
      <c r="F666" s="44"/>
      <c r="G666" s="44"/>
      <c r="H666" s="38"/>
      <c r="I666" s="44"/>
      <c r="J666" s="44"/>
      <c r="K666" s="366"/>
      <c r="L666" s="516"/>
      <c r="M666" s="169"/>
      <c r="N666" s="199"/>
      <c r="O666" s="199"/>
    </row>
    <row r="667" spans="1:15" s="1" customFormat="1" ht="24.75" customHeight="1" thickTop="1">
      <c r="A667" s="228" t="s">
        <v>531</v>
      </c>
      <c r="B667" s="2"/>
      <c r="C667" s="21"/>
      <c r="D667" s="171" t="s">
        <v>422</v>
      </c>
      <c r="E667" s="172" t="s">
        <v>423</v>
      </c>
      <c r="F667" s="171" t="s">
        <v>424</v>
      </c>
      <c r="G667" s="171" t="s">
        <v>425</v>
      </c>
      <c r="H667" s="171" t="s">
        <v>426</v>
      </c>
      <c r="I667" s="173" t="s">
        <v>427</v>
      </c>
      <c r="J667" s="173"/>
      <c r="K667" s="366"/>
      <c r="L667" s="518" t="s">
        <v>688</v>
      </c>
      <c r="M667" s="169"/>
      <c r="N667" s="199"/>
      <c r="O667" s="199"/>
    </row>
    <row r="668" spans="1:15" s="1" customFormat="1" ht="12.75">
      <c r="A668" s="224">
        <v>511116</v>
      </c>
      <c r="B668" s="9" t="s">
        <v>200</v>
      </c>
      <c r="C668" s="20"/>
      <c r="D668" s="72"/>
      <c r="E668" s="72"/>
      <c r="F668" s="95"/>
      <c r="G668" s="377">
        <f>IF(X=0,(IF(Me=0,Sa,Me*Sa)),(IF(Me=0,Sa*X,Me*X*Sa)))</f>
        <v>0</v>
      </c>
      <c r="H668" s="375">
        <f>IF(Sum,Sos,0)</f>
        <v>0</v>
      </c>
      <c r="I668" s="376">
        <f>IF(Prosent&lt;&gt;0,(Sum*Prosent)/100,0)</f>
        <v>0</v>
      </c>
      <c r="J668" s="41"/>
      <c r="K668" s="367"/>
      <c r="L668" s="520">
        <f aca="true" t="shared" si="77" ref="L668:L707">IF(FMVA&lt;&gt;"",(Sum*mva)-Sum,"")</f>
      </c>
      <c r="M668" s="169"/>
      <c r="N668" s="199"/>
      <c r="O668" s="199"/>
    </row>
    <row r="669" spans="1:15" s="1" customFormat="1" ht="12.75">
      <c r="A669" s="224">
        <v>511120</v>
      </c>
      <c r="B669" s="9" t="s">
        <v>571</v>
      </c>
      <c r="C669" s="20"/>
      <c r="D669" s="72"/>
      <c r="E669" s="72"/>
      <c r="F669" s="95"/>
      <c r="G669" s="386">
        <f aca="true" t="shared" si="78" ref="G669:G676">IF(X=0,(IF(Me=0,Sa,Me*Sa)),(IF(Me=0,Sa*X,Me*X*Sa)))</f>
        <v>0</v>
      </c>
      <c r="H669" s="375">
        <f aca="true" t="shared" si="79" ref="H669:H676">IF(Sum,Sos,0)</f>
        <v>0</v>
      </c>
      <c r="I669" s="376">
        <f aca="true" t="shared" si="80" ref="I669:I676">IF(Prosent&lt;&gt;0,(Sum*Prosent)/100,0)</f>
        <v>0</v>
      </c>
      <c r="J669" s="41"/>
      <c r="K669" s="367"/>
      <c r="L669" s="520">
        <f t="shared" si="77"/>
      </c>
      <c r="M669" s="169"/>
      <c r="N669" s="199"/>
      <c r="O669" s="199"/>
    </row>
    <row r="670" spans="1:15" s="1" customFormat="1" ht="12.75">
      <c r="A670" s="224">
        <v>511126</v>
      </c>
      <c r="B670" s="9" t="s">
        <v>572</v>
      </c>
      <c r="C670" s="20"/>
      <c r="D670" s="72"/>
      <c r="E670" s="72"/>
      <c r="F670" s="95"/>
      <c r="G670" s="378">
        <f t="shared" si="78"/>
        <v>0</v>
      </c>
      <c r="H670" s="375">
        <f t="shared" si="79"/>
        <v>0</v>
      </c>
      <c r="I670" s="376">
        <f t="shared" si="80"/>
        <v>0</v>
      </c>
      <c r="J670" s="41"/>
      <c r="K670" s="367"/>
      <c r="L670" s="520">
        <f t="shared" si="77"/>
      </c>
      <c r="M670" s="169"/>
      <c r="N670" s="199"/>
      <c r="O670" s="199"/>
    </row>
    <row r="671" spans="1:15" s="1" customFormat="1" ht="12.75">
      <c r="A671" s="224">
        <v>511127</v>
      </c>
      <c r="B671" s="12" t="s">
        <v>573</v>
      </c>
      <c r="C671" s="20"/>
      <c r="D671" s="55"/>
      <c r="E671" s="72"/>
      <c r="F671" s="381">
        <f>IF(D671=0,0,+G670)</f>
        <v>0</v>
      </c>
      <c r="G671" s="378">
        <f t="shared" si="78"/>
        <v>0</v>
      </c>
      <c r="H671" s="375">
        <f t="shared" si="79"/>
        <v>0</v>
      </c>
      <c r="I671" s="376">
        <f t="shared" si="80"/>
        <v>0</v>
      </c>
      <c r="J671" s="41"/>
      <c r="K671" s="367"/>
      <c r="L671" s="520">
        <f t="shared" si="77"/>
      </c>
      <c r="M671" s="169"/>
      <c r="N671" s="199"/>
      <c r="O671" s="199"/>
    </row>
    <row r="672" spans="1:15" s="1" customFormat="1" ht="12.75">
      <c r="A672" s="224">
        <v>511160</v>
      </c>
      <c r="B672" s="9" t="s">
        <v>623</v>
      </c>
      <c r="C672" s="20"/>
      <c r="D672" s="72"/>
      <c r="E672" s="72"/>
      <c r="F672" s="95"/>
      <c r="G672" s="378">
        <f t="shared" si="78"/>
        <v>0</v>
      </c>
      <c r="H672" s="375">
        <f t="shared" si="79"/>
        <v>0</v>
      </c>
      <c r="I672" s="376">
        <f t="shared" si="80"/>
        <v>0</v>
      </c>
      <c r="J672" s="41"/>
      <c r="K672" s="367"/>
      <c r="L672" s="520">
        <f t="shared" si="77"/>
      </c>
      <c r="M672" s="169"/>
      <c r="N672" s="199"/>
      <c r="O672" s="199"/>
    </row>
    <row r="673" spans="1:15" s="1" customFormat="1" ht="12.75">
      <c r="A673" s="224">
        <v>511161</v>
      </c>
      <c r="B673" s="12" t="s">
        <v>276</v>
      </c>
      <c r="C673" s="20"/>
      <c r="D673" s="55"/>
      <c r="E673" s="72"/>
      <c r="F673" s="381">
        <f>IF(D673=0,0,+G672)</f>
        <v>0</v>
      </c>
      <c r="G673" s="378">
        <f t="shared" si="78"/>
        <v>0</v>
      </c>
      <c r="H673" s="375">
        <f t="shared" si="79"/>
        <v>0</v>
      </c>
      <c r="I673" s="376">
        <f t="shared" si="80"/>
        <v>0</v>
      </c>
      <c r="J673" s="41"/>
      <c r="K673" s="367"/>
      <c r="L673" s="520">
        <f t="shared" si="77"/>
      </c>
      <c r="M673" s="169"/>
      <c r="N673" s="199"/>
      <c r="O673" s="199"/>
    </row>
    <row r="674" spans="1:15" s="1" customFormat="1" ht="12.75">
      <c r="A674" s="224">
        <v>514090</v>
      </c>
      <c r="B674" s="9" t="s">
        <v>552</v>
      </c>
      <c r="C674" s="20"/>
      <c r="D674" s="72"/>
      <c r="E674" s="72"/>
      <c r="F674" s="95"/>
      <c r="G674" s="378">
        <f t="shared" si="78"/>
        <v>0</v>
      </c>
      <c r="H674" s="375">
        <f t="shared" si="79"/>
        <v>0</v>
      </c>
      <c r="I674" s="376">
        <f t="shared" si="80"/>
        <v>0</v>
      </c>
      <c r="J674" s="41"/>
      <c r="K674" s="367"/>
      <c r="L674" s="520">
        <f t="shared" si="77"/>
      </c>
      <c r="M674" s="169"/>
      <c r="N674" s="199"/>
      <c r="O674" s="199"/>
    </row>
    <row r="675" spans="1:15" s="1" customFormat="1" ht="12.75">
      <c r="A675" s="224">
        <v>514091</v>
      </c>
      <c r="B675" s="9" t="s">
        <v>553</v>
      </c>
      <c r="C675" s="20"/>
      <c r="D675" s="55"/>
      <c r="E675" s="72"/>
      <c r="F675" s="381">
        <f>IF(D675=0,0,+G674)</f>
        <v>0</v>
      </c>
      <c r="G675" s="378">
        <f t="shared" si="78"/>
        <v>0</v>
      </c>
      <c r="H675" s="375">
        <f t="shared" si="79"/>
        <v>0</v>
      </c>
      <c r="I675" s="376">
        <f t="shared" si="80"/>
        <v>0</v>
      </c>
      <c r="J675" s="41"/>
      <c r="K675" s="367"/>
      <c r="L675" s="520">
        <f t="shared" si="77"/>
      </c>
      <c r="M675" s="169"/>
      <c r="N675" s="199"/>
      <c r="O675" s="199"/>
    </row>
    <row r="676" spans="1:15" s="1" customFormat="1" ht="12.75">
      <c r="A676" s="224">
        <v>514092</v>
      </c>
      <c r="B676" s="9" t="s">
        <v>590</v>
      </c>
      <c r="C676" s="20"/>
      <c r="D676" s="72"/>
      <c r="E676" s="72"/>
      <c r="F676" s="95"/>
      <c r="G676" s="378">
        <f t="shared" si="78"/>
        <v>0</v>
      </c>
      <c r="H676" s="375">
        <f t="shared" si="79"/>
        <v>0</v>
      </c>
      <c r="I676" s="376">
        <f t="shared" si="80"/>
        <v>0</v>
      </c>
      <c r="J676" s="41"/>
      <c r="K676" s="367"/>
      <c r="L676" s="520">
        <f t="shared" si="77"/>
      </c>
      <c r="M676" s="169"/>
      <c r="N676" s="199"/>
      <c r="O676" s="199"/>
    </row>
    <row r="677" spans="1:15" s="1" customFormat="1" ht="12.75">
      <c r="A677" s="224">
        <v>514095</v>
      </c>
      <c r="B677" s="9" t="s">
        <v>554</v>
      </c>
      <c r="C677" s="20"/>
      <c r="D677" s="73"/>
      <c r="E677" s="73"/>
      <c r="F677" s="98"/>
      <c r="G677" s="384">
        <f>SUM(I668:I676)</f>
        <v>0</v>
      </c>
      <c r="H677" s="38"/>
      <c r="I677" s="39" t="s">
        <v>555</v>
      </c>
      <c r="J677" s="39"/>
      <c r="K677" s="572"/>
      <c r="L677" s="520"/>
      <c r="M677" s="169"/>
      <c r="N677" s="199"/>
      <c r="O677" s="199"/>
    </row>
    <row r="678" spans="1:15" s="1" customFormat="1" ht="12.75">
      <c r="A678" s="224">
        <v>516150</v>
      </c>
      <c r="B678" s="9" t="s">
        <v>277</v>
      </c>
      <c r="C678" s="20"/>
      <c r="D678" s="72"/>
      <c r="E678" s="72"/>
      <c r="F678" s="95"/>
      <c r="G678" s="378">
        <f aca="true" t="shared" si="81" ref="G678:G707">IF(X=0,(IF(Me=0,Sa,Me*Sa)),(IF(Me=0,Sa*X,Me*X*Sa)))</f>
        <v>0</v>
      </c>
      <c r="H678" s="38"/>
      <c r="I678" s="41"/>
      <c r="J678" s="41"/>
      <c r="K678" s="367"/>
      <c r="L678" s="520">
        <f t="shared" si="77"/>
      </c>
      <c r="M678" s="169"/>
      <c r="N678" s="199"/>
      <c r="O678" s="199"/>
    </row>
    <row r="679" spans="1:15" s="1" customFormat="1" ht="12.75">
      <c r="A679" s="224">
        <v>516151</v>
      </c>
      <c r="B679" s="12" t="s">
        <v>278</v>
      </c>
      <c r="C679" s="20"/>
      <c r="D679" s="72"/>
      <c r="E679" s="72"/>
      <c r="F679" s="95"/>
      <c r="G679" s="378">
        <f t="shared" si="81"/>
        <v>0</v>
      </c>
      <c r="H679" s="38"/>
      <c r="I679" s="41"/>
      <c r="J679" s="41"/>
      <c r="K679" s="367"/>
      <c r="L679" s="520">
        <f t="shared" si="77"/>
      </c>
      <c r="M679" s="169"/>
      <c r="N679" s="199"/>
      <c r="O679" s="199"/>
    </row>
    <row r="680" spans="1:15" s="1" customFormat="1" ht="12.75">
      <c r="A680" s="224">
        <v>516152</v>
      </c>
      <c r="B680" s="9" t="s">
        <v>279</v>
      </c>
      <c r="C680" s="20"/>
      <c r="D680" s="72"/>
      <c r="E680" s="72"/>
      <c r="F680" s="95"/>
      <c r="G680" s="378">
        <f t="shared" si="81"/>
        <v>0</v>
      </c>
      <c r="H680" s="38"/>
      <c r="I680" s="41"/>
      <c r="J680" s="41"/>
      <c r="K680" s="367"/>
      <c r="L680" s="520">
        <f t="shared" si="77"/>
      </c>
      <c r="M680" s="169"/>
      <c r="N680" s="199"/>
      <c r="O680" s="199"/>
    </row>
    <row r="681" spans="1:15" s="1" customFormat="1" ht="12.75">
      <c r="A681" s="224">
        <v>516153</v>
      </c>
      <c r="B681" s="9" t="s">
        <v>280</v>
      </c>
      <c r="C681" s="20"/>
      <c r="D681" s="72"/>
      <c r="E681" s="72"/>
      <c r="F681" s="95"/>
      <c r="G681" s="378">
        <f t="shared" si="81"/>
        <v>0</v>
      </c>
      <c r="H681" s="38"/>
      <c r="I681" s="41"/>
      <c r="J681" s="41"/>
      <c r="K681" s="367"/>
      <c r="L681" s="520">
        <f t="shared" si="77"/>
      </c>
      <c r="M681" s="169"/>
      <c r="N681" s="199"/>
      <c r="O681" s="199"/>
    </row>
    <row r="682" spans="1:15" s="1" customFormat="1" ht="12.75">
      <c r="A682" s="224">
        <v>519010</v>
      </c>
      <c r="B682" s="9" t="s">
        <v>556</v>
      </c>
      <c r="C682" s="20"/>
      <c r="D682" s="72"/>
      <c r="E682" s="72"/>
      <c r="F682" s="95"/>
      <c r="G682" s="378">
        <f t="shared" si="81"/>
        <v>0</v>
      </c>
      <c r="H682" s="38"/>
      <c r="I682" s="41"/>
      <c r="J682" s="41"/>
      <c r="K682" s="367"/>
      <c r="L682" s="520">
        <f t="shared" si="77"/>
      </c>
      <c r="M682" s="169"/>
      <c r="N682" s="199"/>
      <c r="O682" s="199"/>
    </row>
    <row r="683" spans="1:15" s="1" customFormat="1" ht="12.75">
      <c r="A683" s="224">
        <v>519011</v>
      </c>
      <c r="B683" s="9" t="s">
        <v>11</v>
      </c>
      <c r="C683" s="20"/>
      <c r="D683" s="72"/>
      <c r="E683" s="72"/>
      <c r="F683" s="95"/>
      <c r="G683" s="378">
        <f t="shared" si="81"/>
        <v>0</v>
      </c>
      <c r="H683" s="38"/>
      <c r="I683" s="41"/>
      <c r="J683" s="41"/>
      <c r="K683" s="367"/>
      <c r="L683" s="520">
        <f t="shared" si="77"/>
      </c>
      <c r="M683" s="169"/>
      <c r="N683" s="199"/>
      <c r="O683" s="199"/>
    </row>
    <row r="684" spans="1:15" s="1" customFormat="1" ht="12.75">
      <c r="A684" s="224">
        <v>519013</v>
      </c>
      <c r="B684" s="9" t="s">
        <v>557</v>
      </c>
      <c r="C684" s="20"/>
      <c r="D684" s="72"/>
      <c r="E684" s="72"/>
      <c r="F684" s="95"/>
      <c r="G684" s="378">
        <f t="shared" si="81"/>
        <v>0</v>
      </c>
      <c r="H684" s="38"/>
      <c r="I684" s="41"/>
      <c r="J684" s="41"/>
      <c r="K684" s="367"/>
      <c r="L684" s="520">
        <f t="shared" si="77"/>
      </c>
      <c r="M684" s="169"/>
      <c r="N684" s="199"/>
      <c r="O684" s="199"/>
    </row>
    <row r="685" spans="1:15" s="1" customFormat="1" ht="12.75">
      <c r="A685" s="224">
        <v>519020</v>
      </c>
      <c r="B685" s="14" t="s">
        <v>13</v>
      </c>
      <c r="C685" s="20"/>
      <c r="D685" s="72"/>
      <c r="E685" s="72"/>
      <c r="F685" s="95"/>
      <c r="G685" s="378">
        <f t="shared" si="81"/>
        <v>0</v>
      </c>
      <c r="H685" s="38"/>
      <c r="I685" s="41"/>
      <c r="J685" s="41"/>
      <c r="K685" s="367"/>
      <c r="L685" s="520">
        <f t="shared" si="77"/>
      </c>
      <c r="M685" s="169"/>
      <c r="N685" s="199"/>
      <c r="O685" s="199"/>
    </row>
    <row r="686" spans="1:15" s="1" customFormat="1" ht="12.75">
      <c r="A686" s="224">
        <v>519021</v>
      </c>
      <c r="B686" s="9" t="s">
        <v>14</v>
      </c>
      <c r="C686" s="20"/>
      <c r="D686" s="72"/>
      <c r="E686" s="72"/>
      <c r="F686" s="95"/>
      <c r="G686" s="378">
        <f t="shared" si="81"/>
        <v>0</v>
      </c>
      <c r="H686" s="38"/>
      <c r="I686" s="41"/>
      <c r="J686" s="41"/>
      <c r="K686" s="367"/>
      <c r="L686" s="520">
        <f t="shared" si="77"/>
      </c>
      <c r="M686" s="169"/>
      <c r="N686" s="199"/>
      <c r="O686" s="199"/>
    </row>
    <row r="687" spans="1:15" s="1" customFormat="1" ht="12.75">
      <c r="A687" s="224">
        <v>519022</v>
      </c>
      <c r="B687" s="9" t="s">
        <v>558</v>
      </c>
      <c r="C687" s="20"/>
      <c r="D687" s="72"/>
      <c r="E687" s="72"/>
      <c r="F687" s="95"/>
      <c r="G687" s="378">
        <f t="shared" si="81"/>
        <v>0</v>
      </c>
      <c r="H687" s="38"/>
      <c r="I687" s="41"/>
      <c r="J687" s="41"/>
      <c r="K687" s="367"/>
      <c r="L687" s="520">
        <f t="shared" si="77"/>
      </c>
      <c r="M687" s="169"/>
      <c r="N687" s="199"/>
      <c r="O687" s="199"/>
    </row>
    <row r="688" spans="1:15" s="1" customFormat="1" ht="12.75">
      <c r="A688" s="224">
        <v>519023</v>
      </c>
      <c r="B688" s="9" t="s">
        <v>559</v>
      </c>
      <c r="C688" s="20"/>
      <c r="D688" s="72"/>
      <c r="E688" s="72"/>
      <c r="F688" s="95"/>
      <c r="G688" s="378">
        <f t="shared" si="81"/>
        <v>0</v>
      </c>
      <c r="H688" s="38"/>
      <c r="I688" s="48"/>
      <c r="J688" s="48"/>
      <c r="K688" s="367"/>
      <c r="L688" s="520">
        <f t="shared" si="77"/>
      </c>
      <c r="M688" s="169"/>
      <c r="N688" s="199"/>
      <c r="O688" s="199"/>
    </row>
    <row r="689" spans="1:15" s="1" customFormat="1" ht="12.75">
      <c r="A689" s="224">
        <v>519025</v>
      </c>
      <c r="B689" s="9" t="s">
        <v>560</v>
      </c>
      <c r="C689" s="20"/>
      <c r="D689" s="72"/>
      <c r="E689" s="72"/>
      <c r="F689" s="95"/>
      <c r="G689" s="378">
        <f t="shared" si="81"/>
        <v>0</v>
      </c>
      <c r="H689" s="38"/>
      <c r="I689" s="48"/>
      <c r="J689" s="48"/>
      <c r="K689" s="367"/>
      <c r="L689" s="520">
        <f t="shared" si="77"/>
      </c>
      <c r="M689" s="169"/>
      <c r="N689" s="199"/>
      <c r="O689" s="199"/>
    </row>
    <row r="690" spans="1:15" s="1" customFormat="1" ht="12.75">
      <c r="A690" s="224">
        <v>519027</v>
      </c>
      <c r="B690" s="9" t="s">
        <v>15</v>
      </c>
      <c r="C690" s="20"/>
      <c r="D690" s="72"/>
      <c r="E690" s="72"/>
      <c r="F690" s="95"/>
      <c r="G690" s="378">
        <f t="shared" si="81"/>
        <v>0</v>
      </c>
      <c r="H690" s="38"/>
      <c r="I690" s="41"/>
      <c r="J690" s="41"/>
      <c r="K690" s="367"/>
      <c r="L690" s="520">
        <f t="shared" si="77"/>
      </c>
      <c r="M690" s="169"/>
      <c r="N690" s="199"/>
      <c r="O690" s="199"/>
    </row>
    <row r="691" spans="1:15" s="1" customFormat="1" ht="12.75">
      <c r="A691" s="224">
        <v>519029</v>
      </c>
      <c r="B691" s="9" t="s">
        <v>561</v>
      </c>
      <c r="C691" s="20"/>
      <c r="D691" s="72"/>
      <c r="E691" s="72"/>
      <c r="F691" s="95"/>
      <c r="G691" s="378">
        <f t="shared" si="81"/>
        <v>0</v>
      </c>
      <c r="H691" s="38"/>
      <c r="I691" s="41"/>
      <c r="J691" s="41"/>
      <c r="K691" s="367"/>
      <c r="L691" s="520">
        <f t="shared" si="77"/>
      </c>
      <c r="M691" s="169"/>
      <c r="N691" s="199"/>
      <c r="O691" s="199"/>
    </row>
    <row r="692" spans="1:15" s="1" customFormat="1" ht="12.75">
      <c r="A692" s="224">
        <v>519030</v>
      </c>
      <c r="B692" s="9" t="s">
        <v>594</v>
      </c>
      <c r="C692" s="20"/>
      <c r="D692" s="72"/>
      <c r="E692" s="72"/>
      <c r="F692" s="95"/>
      <c r="G692" s="378">
        <f t="shared" si="81"/>
        <v>0</v>
      </c>
      <c r="H692" s="38"/>
      <c r="I692" s="41"/>
      <c r="J692" s="41"/>
      <c r="K692" s="367"/>
      <c r="L692" s="520">
        <f t="shared" si="77"/>
      </c>
      <c r="M692" s="169"/>
      <c r="N692" s="199"/>
      <c r="O692" s="199"/>
    </row>
    <row r="693" spans="1:15" s="1" customFormat="1" ht="12.75">
      <c r="A693" s="224">
        <v>519064</v>
      </c>
      <c r="B693" s="9" t="s">
        <v>21</v>
      </c>
      <c r="C693" s="20"/>
      <c r="D693" s="72"/>
      <c r="E693" s="72"/>
      <c r="F693" s="95"/>
      <c r="G693" s="378">
        <f t="shared" si="81"/>
        <v>0</v>
      </c>
      <c r="H693" s="38"/>
      <c r="I693" s="41"/>
      <c r="J693" s="41"/>
      <c r="K693" s="367"/>
      <c r="L693" s="520">
        <f t="shared" si="77"/>
      </c>
      <c r="M693" s="169"/>
      <c r="N693" s="199"/>
      <c r="O693" s="199"/>
    </row>
    <row r="694" spans="1:15" s="1" customFormat="1" ht="12.75">
      <c r="A694" s="224">
        <v>519069</v>
      </c>
      <c r="B694" s="9" t="s">
        <v>564</v>
      </c>
      <c r="C694" s="20" t="s">
        <v>416</v>
      </c>
      <c r="D694" s="72"/>
      <c r="E694" s="72"/>
      <c r="F694" s="95"/>
      <c r="G694" s="378">
        <f t="shared" si="81"/>
        <v>0</v>
      </c>
      <c r="H694" s="38"/>
      <c r="I694" s="41"/>
      <c r="J694" s="41"/>
      <c r="K694" s="367"/>
      <c r="L694" s="520">
        <f t="shared" si="77"/>
      </c>
      <c r="M694" s="169"/>
      <c r="N694" s="199"/>
      <c r="O694" s="199"/>
    </row>
    <row r="695" spans="1:15" s="1" customFormat="1" ht="12.75">
      <c r="A695" s="224">
        <v>519070</v>
      </c>
      <c r="B695" s="9" t="s">
        <v>565</v>
      </c>
      <c r="C695" s="20"/>
      <c r="D695" s="72"/>
      <c r="E695" s="72"/>
      <c r="F695" s="95"/>
      <c r="G695" s="378">
        <f t="shared" si="81"/>
        <v>0</v>
      </c>
      <c r="H695" s="38"/>
      <c r="I695" s="41"/>
      <c r="J695" s="41"/>
      <c r="K695" s="367"/>
      <c r="L695" s="520">
        <f t="shared" si="77"/>
      </c>
      <c r="M695" s="169"/>
      <c r="N695" s="199"/>
      <c r="O695" s="199"/>
    </row>
    <row r="696" spans="1:15" s="1" customFormat="1" ht="12.75">
      <c r="A696" s="224">
        <v>519072</v>
      </c>
      <c r="B696" s="9" t="s">
        <v>566</v>
      </c>
      <c r="C696" s="20"/>
      <c r="D696" s="72"/>
      <c r="E696" s="72"/>
      <c r="F696" s="95"/>
      <c r="G696" s="378">
        <f t="shared" si="81"/>
        <v>0</v>
      </c>
      <c r="H696" s="38"/>
      <c r="I696" s="41"/>
      <c r="J696" s="41"/>
      <c r="K696" s="367"/>
      <c r="L696" s="520">
        <f t="shared" si="77"/>
      </c>
      <c r="M696" s="169"/>
      <c r="N696" s="199"/>
      <c r="O696" s="199"/>
    </row>
    <row r="697" spans="1:15" s="1" customFormat="1" ht="12.75">
      <c r="A697" s="224">
        <v>519073</v>
      </c>
      <c r="B697" s="9" t="s">
        <v>567</v>
      </c>
      <c r="C697" s="20"/>
      <c r="D697" s="72"/>
      <c r="E697" s="72"/>
      <c r="F697" s="95"/>
      <c r="G697" s="378">
        <f t="shared" si="81"/>
        <v>0</v>
      </c>
      <c r="H697" s="38"/>
      <c r="I697" s="41"/>
      <c r="J697" s="41"/>
      <c r="K697" s="367"/>
      <c r="L697" s="520">
        <f t="shared" si="77"/>
      </c>
      <c r="M697" s="169"/>
      <c r="N697" s="199"/>
      <c r="O697" s="199"/>
    </row>
    <row r="698" spans="1:15" s="1" customFormat="1" ht="12.75">
      <c r="A698" s="224">
        <v>519077</v>
      </c>
      <c r="B698" s="9" t="s">
        <v>598</v>
      </c>
      <c r="C698" s="20"/>
      <c r="D698" s="72"/>
      <c r="E698" s="72"/>
      <c r="F698" s="95"/>
      <c r="G698" s="378">
        <f t="shared" si="81"/>
        <v>0</v>
      </c>
      <c r="H698" s="38"/>
      <c r="I698" s="41"/>
      <c r="J698" s="41"/>
      <c r="K698" s="367"/>
      <c r="L698" s="520">
        <f t="shared" si="77"/>
      </c>
      <c r="M698" s="169"/>
      <c r="N698" s="199"/>
      <c r="O698" s="199"/>
    </row>
    <row r="699" spans="1:15" s="1" customFormat="1" ht="12.75">
      <c r="A699" s="224">
        <v>519078</v>
      </c>
      <c r="B699" s="9" t="s">
        <v>568</v>
      </c>
      <c r="C699" s="20"/>
      <c r="D699" s="72"/>
      <c r="E699" s="72"/>
      <c r="F699" s="95"/>
      <c r="G699" s="378">
        <f t="shared" si="81"/>
        <v>0</v>
      </c>
      <c r="H699" s="38"/>
      <c r="I699" s="41"/>
      <c r="J699" s="41"/>
      <c r="K699" s="367"/>
      <c r="L699" s="520">
        <f t="shared" si="77"/>
      </c>
      <c r="M699" s="169"/>
      <c r="N699" s="199"/>
      <c r="O699" s="199"/>
    </row>
    <row r="700" spans="1:15" s="1" customFormat="1" ht="12.75">
      <c r="A700" s="224">
        <v>519081</v>
      </c>
      <c r="B700" s="9" t="s">
        <v>599</v>
      </c>
      <c r="C700" s="20"/>
      <c r="D700" s="72"/>
      <c r="E700" s="72"/>
      <c r="F700" s="95"/>
      <c r="G700" s="378">
        <f t="shared" si="81"/>
        <v>0</v>
      </c>
      <c r="H700" s="33"/>
      <c r="I700" s="41"/>
      <c r="J700" s="41"/>
      <c r="K700" s="367"/>
      <c r="L700" s="520">
        <f t="shared" si="77"/>
      </c>
      <c r="M700" s="169"/>
      <c r="N700" s="199"/>
      <c r="O700" s="199"/>
    </row>
    <row r="701" spans="1:15" s="1" customFormat="1" ht="12.75">
      <c r="A701" s="224">
        <v>519082</v>
      </c>
      <c r="B701" s="9" t="s">
        <v>600</v>
      </c>
      <c r="C701" s="20"/>
      <c r="D701" s="72"/>
      <c r="E701" s="72"/>
      <c r="F701" s="95"/>
      <c r="G701" s="378">
        <f t="shared" si="81"/>
        <v>0</v>
      </c>
      <c r="H701" s="38"/>
      <c r="I701" s="41"/>
      <c r="J701" s="41"/>
      <c r="K701" s="367"/>
      <c r="L701" s="520">
        <f t="shared" si="77"/>
      </c>
      <c r="M701" s="169"/>
      <c r="N701" s="199"/>
      <c r="O701" s="199"/>
    </row>
    <row r="702" spans="1:15" s="1" customFormat="1" ht="12.75">
      <c r="A702" s="224">
        <v>519083</v>
      </c>
      <c r="B702" s="9" t="s">
        <v>601</v>
      </c>
      <c r="C702" s="20"/>
      <c r="D702" s="72"/>
      <c r="E702" s="72"/>
      <c r="F702" s="95"/>
      <c r="G702" s="378">
        <f t="shared" si="81"/>
        <v>0</v>
      </c>
      <c r="H702" s="38"/>
      <c r="I702" s="41"/>
      <c r="J702" s="41"/>
      <c r="K702" s="367"/>
      <c r="L702" s="520">
        <f t="shared" si="77"/>
      </c>
      <c r="M702" s="169"/>
      <c r="N702" s="199"/>
      <c r="O702" s="199"/>
    </row>
    <row r="703" spans="1:15" s="1" customFormat="1" ht="12.75">
      <c r="A703" s="224">
        <v>519084</v>
      </c>
      <c r="B703" s="9" t="s">
        <v>602</v>
      </c>
      <c r="C703" s="20"/>
      <c r="D703" s="72"/>
      <c r="E703" s="72"/>
      <c r="F703" s="95"/>
      <c r="G703" s="378">
        <f t="shared" si="81"/>
        <v>0</v>
      </c>
      <c r="H703" s="33"/>
      <c r="I703" s="41"/>
      <c r="J703" s="41"/>
      <c r="K703" s="367"/>
      <c r="L703" s="520">
        <f t="shared" si="77"/>
      </c>
      <c r="M703" s="169"/>
      <c r="N703" s="199"/>
      <c r="O703" s="199"/>
    </row>
    <row r="704" spans="1:15" s="1" customFormat="1" ht="12.75">
      <c r="A704" s="224">
        <v>519085</v>
      </c>
      <c r="B704" s="9" t="s">
        <v>603</v>
      </c>
      <c r="C704" s="20"/>
      <c r="D704" s="72"/>
      <c r="E704" s="72"/>
      <c r="F704" s="95"/>
      <c r="G704" s="378">
        <f t="shared" si="81"/>
        <v>0</v>
      </c>
      <c r="H704" s="33"/>
      <c r="I704" s="41"/>
      <c r="J704" s="41"/>
      <c r="K704" s="367"/>
      <c r="L704" s="520">
        <f t="shared" si="77"/>
      </c>
      <c r="M704" s="169"/>
      <c r="N704" s="199"/>
      <c r="O704" s="199"/>
    </row>
    <row r="705" spans="1:15" s="1" customFormat="1" ht="12.75">
      <c r="A705" s="224">
        <v>519090</v>
      </c>
      <c r="B705" s="9" t="s">
        <v>604</v>
      </c>
      <c r="C705" s="20"/>
      <c r="D705" s="72"/>
      <c r="E705" s="72"/>
      <c r="F705" s="95"/>
      <c r="G705" s="378">
        <f t="shared" si="81"/>
        <v>0</v>
      </c>
      <c r="H705" s="33"/>
      <c r="I705" s="41"/>
      <c r="J705" s="41"/>
      <c r="K705" s="367"/>
      <c r="L705" s="520">
        <f t="shared" si="77"/>
      </c>
      <c r="M705" s="169"/>
      <c r="N705" s="199"/>
      <c r="O705" s="199"/>
    </row>
    <row r="706" spans="1:15" s="1" customFormat="1" ht="12.75">
      <c r="A706" s="224">
        <v>519093</v>
      </c>
      <c r="B706" s="9" t="s">
        <v>569</v>
      </c>
      <c r="C706" s="20"/>
      <c r="D706" s="72"/>
      <c r="E706" s="72"/>
      <c r="F706" s="95"/>
      <c r="G706" s="378">
        <f t="shared" si="81"/>
        <v>0</v>
      </c>
      <c r="H706" s="33"/>
      <c r="I706" s="41"/>
      <c r="J706" s="41"/>
      <c r="K706" s="367"/>
      <c r="L706" s="520">
        <f t="shared" si="77"/>
      </c>
      <c r="M706" s="169"/>
      <c r="N706" s="199"/>
      <c r="O706" s="199"/>
    </row>
    <row r="707" spans="1:15" s="1" customFormat="1" ht="12.75">
      <c r="A707" s="224">
        <v>519098</v>
      </c>
      <c r="B707" s="218" t="s">
        <v>25</v>
      </c>
      <c r="C707" s="219"/>
      <c r="D707" s="220"/>
      <c r="E707" s="220"/>
      <c r="F707" s="221"/>
      <c r="G707" s="379">
        <f t="shared" si="81"/>
        <v>0</v>
      </c>
      <c r="H707" s="38"/>
      <c r="I707" s="41"/>
      <c r="J707" s="41"/>
      <c r="K707" s="367"/>
      <c r="L707" s="520">
        <f t="shared" si="77"/>
      </c>
      <c r="M707" s="169"/>
      <c r="N707" s="199"/>
      <c r="O707" s="199"/>
    </row>
    <row r="708" spans="1:15" s="1" customFormat="1" ht="13.5" thickBot="1">
      <c r="A708" s="231" t="s">
        <v>401</v>
      </c>
      <c r="B708" s="6"/>
      <c r="C708" s="22"/>
      <c r="D708" s="44"/>
      <c r="E708" s="71"/>
      <c r="F708" s="90" t="s">
        <v>570</v>
      </c>
      <c r="G708" s="383">
        <f>SUM(G668:G707)</f>
        <v>0</v>
      </c>
      <c r="H708" s="38"/>
      <c r="I708" s="44"/>
      <c r="J708" s="44"/>
      <c r="K708" s="366"/>
      <c r="L708" s="383">
        <f>SUM(L668:L707)</f>
        <v>0</v>
      </c>
      <c r="M708" s="169"/>
      <c r="N708" s="199"/>
      <c r="O708" s="199"/>
    </row>
    <row r="709" spans="1:15" s="1" customFormat="1" ht="0.75" customHeight="1" thickTop="1">
      <c r="A709" s="226"/>
      <c r="C709" s="21"/>
      <c r="D709" s="48"/>
      <c r="E709" s="64"/>
      <c r="F709" s="35"/>
      <c r="G709" s="41"/>
      <c r="H709" s="38"/>
      <c r="I709" s="41"/>
      <c r="J709" s="41"/>
      <c r="K709" s="366"/>
      <c r="L709" s="516"/>
      <c r="M709" s="169"/>
      <c r="N709" s="199"/>
      <c r="O709" s="199"/>
    </row>
    <row r="710" spans="1:15" s="1" customFormat="1" ht="24.75" customHeight="1" thickTop="1">
      <c r="A710" s="228" t="s">
        <v>532</v>
      </c>
      <c r="C710" s="21"/>
      <c r="D710" s="171" t="s">
        <v>422</v>
      </c>
      <c r="E710" s="172" t="s">
        <v>423</v>
      </c>
      <c r="F710" s="171" t="s">
        <v>424</v>
      </c>
      <c r="G710" s="171" t="s">
        <v>425</v>
      </c>
      <c r="H710" s="171" t="s">
        <v>426</v>
      </c>
      <c r="I710" s="173" t="s">
        <v>427</v>
      </c>
      <c r="J710" s="173"/>
      <c r="K710" s="366"/>
      <c r="L710" s="518" t="s">
        <v>688</v>
      </c>
      <c r="M710" s="169"/>
      <c r="N710" s="199"/>
      <c r="O710" s="199"/>
    </row>
    <row r="711" spans="1:15" s="1" customFormat="1" ht="12.75">
      <c r="A711" s="224">
        <v>523110</v>
      </c>
      <c r="B711" s="9" t="s">
        <v>281</v>
      </c>
      <c r="C711" s="20"/>
      <c r="D711" s="72"/>
      <c r="E711" s="72"/>
      <c r="F711" s="95"/>
      <c r="G711" s="377">
        <f aca="true" t="shared" si="82" ref="G711:G721">IF(X=0,(IF(Me=0,Sa,Me*Sa)),(IF(Me=0,Sa*X,Me*X*Sa)))</f>
        <v>0</v>
      </c>
      <c r="H711" s="375">
        <f aca="true" t="shared" si="83" ref="H711:H721">IF(Sum,Sos,0)</f>
        <v>0</v>
      </c>
      <c r="I711" s="376">
        <f aca="true" t="shared" si="84" ref="I711:I721">IF(Prosent&lt;&gt;0,(Sum*Prosent)/100,0)</f>
        <v>0</v>
      </c>
      <c r="J711" s="41"/>
      <c r="K711" s="367"/>
      <c r="L711" s="520">
        <f aca="true" t="shared" si="85" ref="L711:L732">IF(FMVA&lt;&gt;"",(Sum*mva)-Sum,"")</f>
      </c>
      <c r="M711" s="169"/>
      <c r="N711" s="199"/>
      <c r="O711" s="199"/>
    </row>
    <row r="712" spans="1:15" s="1" customFormat="1" ht="12.75">
      <c r="A712" s="224">
        <v>523111</v>
      </c>
      <c r="B712" s="12" t="s">
        <v>282</v>
      </c>
      <c r="C712" s="20"/>
      <c r="D712" s="55"/>
      <c r="E712" s="72"/>
      <c r="F712" s="381">
        <f>IF(D712=0,0,+G711)</f>
        <v>0</v>
      </c>
      <c r="G712" s="378">
        <f t="shared" si="82"/>
        <v>0</v>
      </c>
      <c r="H712" s="375">
        <f t="shared" si="83"/>
        <v>0</v>
      </c>
      <c r="I712" s="376">
        <f t="shared" si="84"/>
        <v>0</v>
      </c>
      <c r="J712" s="41"/>
      <c r="K712" s="367"/>
      <c r="L712" s="520">
        <f t="shared" si="85"/>
      </c>
      <c r="M712" s="169"/>
      <c r="N712" s="199"/>
      <c r="O712" s="199"/>
    </row>
    <row r="713" spans="1:15" s="1" customFormat="1" ht="12.75">
      <c r="A713" s="224">
        <v>523114</v>
      </c>
      <c r="B713" s="9" t="s">
        <v>283</v>
      </c>
      <c r="C713" s="20"/>
      <c r="D713" s="72"/>
      <c r="E713" s="72"/>
      <c r="F713" s="95"/>
      <c r="G713" s="378">
        <f t="shared" si="82"/>
        <v>0</v>
      </c>
      <c r="H713" s="375">
        <f t="shared" si="83"/>
        <v>0</v>
      </c>
      <c r="I713" s="376">
        <f t="shared" si="84"/>
        <v>0</v>
      </c>
      <c r="J713" s="41"/>
      <c r="K713" s="367"/>
      <c r="L713" s="520">
        <f t="shared" si="85"/>
      </c>
      <c r="M713" s="169"/>
      <c r="N713" s="199"/>
      <c r="O713" s="199"/>
    </row>
    <row r="714" spans="1:15" s="1" customFormat="1" ht="12.75">
      <c r="A714" s="224">
        <v>523115</v>
      </c>
      <c r="B714" s="12" t="s">
        <v>284</v>
      </c>
      <c r="C714" s="20"/>
      <c r="D714" s="55"/>
      <c r="E714" s="72"/>
      <c r="F714" s="381">
        <f>IF(D714=0,0,+G713)</f>
        <v>0</v>
      </c>
      <c r="G714" s="378">
        <f t="shared" si="82"/>
        <v>0</v>
      </c>
      <c r="H714" s="375">
        <f t="shared" si="83"/>
        <v>0</v>
      </c>
      <c r="I714" s="376">
        <f t="shared" si="84"/>
        <v>0</v>
      </c>
      <c r="J714" s="41"/>
      <c r="K714" s="367"/>
      <c r="L714" s="520">
        <f t="shared" si="85"/>
      </c>
      <c r="M714" s="169"/>
      <c r="N714" s="199"/>
      <c r="O714" s="199"/>
    </row>
    <row r="715" spans="1:15" s="1" customFormat="1" ht="12.75">
      <c r="A715" s="224">
        <v>523120</v>
      </c>
      <c r="B715" s="9" t="s">
        <v>285</v>
      </c>
      <c r="C715" s="20"/>
      <c r="D715" s="72"/>
      <c r="E715" s="72"/>
      <c r="F715" s="95"/>
      <c r="G715" s="378">
        <f t="shared" si="82"/>
        <v>0</v>
      </c>
      <c r="H715" s="375">
        <f t="shared" si="83"/>
        <v>0</v>
      </c>
      <c r="I715" s="376">
        <f t="shared" si="84"/>
        <v>0</v>
      </c>
      <c r="J715" s="41"/>
      <c r="K715" s="367"/>
      <c r="L715" s="520">
        <f t="shared" si="85"/>
      </c>
      <c r="M715" s="169"/>
      <c r="N715" s="199"/>
      <c r="O715" s="199"/>
    </row>
    <row r="716" spans="1:15" s="1" customFormat="1" ht="12.75">
      <c r="A716" s="224">
        <v>523121</v>
      </c>
      <c r="B716" s="12" t="s">
        <v>286</v>
      </c>
      <c r="C716" s="20"/>
      <c r="D716" s="55"/>
      <c r="E716" s="72"/>
      <c r="F716" s="381">
        <f>IF(D716=0,0,+G715)</f>
        <v>0</v>
      </c>
      <c r="G716" s="378">
        <f t="shared" si="82"/>
        <v>0</v>
      </c>
      <c r="H716" s="375">
        <f t="shared" si="83"/>
        <v>0</v>
      </c>
      <c r="I716" s="376">
        <f t="shared" si="84"/>
        <v>0</v>
      </c>
      <c r="J716" s="41"/>
      <c r="K716" s="367"/>
      <c r="L716" s="520">
        <f t="shared" si="85"/>
      </c>
      <c r="M716" s="169"/>
      <c r="N716" s="199"/>
      <c r="O716" s="199"/>
    </row>
    <row r="717" spans="1:15" s="1" customFormat="1" ht="12.75">
      <c r="A717" s="224">
        <v>523122</v>
      </c>
      <c r="B717" s="9" t="s">
        <v>287</v>
      </c>
      <c r="C717" s="20"/>
      <c r="D717" s="72"/>
      <c r="E717" s="72"/>
      <c r="F717" s="95"/>
      <c r="G717" s="378">
        <f t="shared" si="82"/>
        <v>0</v>
      </c>
      <c r="H717" s="375">
        <f t="shared" si="83"/>
        <v>0</v>
      </c>
      <c r="I717" s="376">
        <f t="shared" si="84"/>
        <v>0</v>
      </c>
      <c r="J717" s="41"/>
      <c r="K717" s="367"/>
      <c r="L717" s="520">
        <f t="shared" si="85"/>
      </c>
      <c r="M717" s="169"/>
      <c r="N717" s="199"/>
      <c r="O717" s="199"/>
    </row>
    <row r="718" spans="1:15" s="1" customFormat="1" ht="12.75">
      <c r="A718" s="224">
        <v>523123</v>
      </c>
      <c r="B718" s="9" t="s">
        <v>288</v>
      </c>
      <c r="C718" s="20"/>
      <c r="D718" s="55"/>
      <c r="E718" s="72"/>
      <c r="F718" s="381">
        <f>IF(D718=0,0,+G717)</f>
        <v>0</v>
      </c>
      <c r="G718" s="378">
        <f t="shared" si="82"/>
        <v>0</v>
      </c>
      <c r="H718" s="375">
        <f t="shared" si="83"/>
        <v>0</v>
      </c>
      <c r="I718" s="376">
        <f t="shared" si="84"/>
        <v>0</v>
      </c>
      <c r="J718" s="41"/>
      <c r="K718" s="367"/>
      <c r="L718" s="520">
        <f t="shared" si="85"/>
      </c>
      <c r="M718" s="169"/>
      <c r="N718" s="199"/>
      <c r="O718" s="199"/>
    </row>
    <row r="719" spans="1:15" s="1" customFormat="1" ht="12.75">
      <c r="A719" s="224">
        <v>523124</v>
      </c>
      <c r="B719" s="9" t="s">
        <v>779</v>
      </c>
      <c r="C719" s="20"/>
      <c r="D719" s="72"/>
      <c r="E719" s="72"/>
      <c r="F719" s="95"/>
      <c r="G719" s="378">
        <f t="shared" si="82"/>
        <v>0</v>
      </c>
      <c r="H719" s="375">
        <f t="shared" si="83"/>
        <v>0</v>
      </c>
      <c r="I719" s="376">
        <f t="shared" si="84"/>
        <v>0</v>
      </c>
      <c r="J719" s="41"/>
      <c r="K719" s="367"/>
      <c r="L719" s="520">
        <f t="shared" si="85"/>
      </c>
      <c r="M719" s="169"/>
      <c r="N719" s="199"/>
      <c r="O719" s="199"/>
    </row>
    <row r="720" spans="1:15" s="1" customFormat="1" ht="12.75">
      <c r="A720" s="224">
        <v>523125</v>
      </c>
      <c r="B720" s="9" t="s">
        <v>289</v>
      </c>
      <c r="C720" s="20"/>
      <c r="D720" s="55"/>
      <c r="E720" s="72"/>
      <c r="F720" s="381">
        <f>IF(D720=0,0,+G719)</f>
        <v>0</v>
      </c>
      <c r="G720" s="378">
        <f t="shared" si="82"/>
        <v>0</v>
      </c>
      <c r="H720" s="375">
        <f t="shared" si="83"/>
        <v>0</v>
      </c>
      <c r="I720" s="376">
        <f t="shared" si="84"/>
        <v>0</v>
      </c>
      <c r="J720" s="41"/>
      <c r="K720" s="367"/>
      <c r="L720" s="520">
        <f t="shared" si="85"/>
      </c>
      <c r="M720" s="169"/>
      <c r="N720" s="199"/>
      <c r="O720" s="199"/>
    </row>
    <row r="721" spans="1:15" s="1" customFormat="1" ht="12.75">
      <c r="A721" s="224">
        <v>524092</v>
      </c>
      <c r="B721" s="9" t="s">
        <v>590</v>
      </c>
      <c r="C721" s="20"/>
      <c r="D721" s="72"/>
      <c r="E721" s="72"/>
      <c r="F721" s="95"/>
      <c r="G721" s="378">
        <f t="shared" si="82"/>
        <v>0</v>
      </c>
      <c r="H721" s="375">
        <f t="shared" si="83"/>
        <v>0</v>
      </c>
      <c r="I721" s="376">
        <f t="shared" si="84"/>
        <v>0</v>
      </c>
      <c r="J721" s="41"/>
      <c r="K721" s="367"/>
      <c r="L721" s="520">
        <f t="shared" si="85"/>
      </c>
      <c r="M721" s="169"/>
      <c r="N721" s="199"/>
      <c r="O721" s="199"/>
    </row>
    <row r="722" spans="1:15" s="1" customFormat="1" ht="12.75">
      <c r="A722" s="224">
        <v>524095</v>
      </c>
      <c r="B722" s="9" t="s">
        <v>554</v>
      </c>
      <c r="C722" s="20"/>
      <c r="D722" s="73"/>
      <c r="E722" s="73"/>
      <c r="F722" s="98"/>
      <c r="G722" s="384">
        <f>SUM(I711:I721)</f>
        <v>0</v>
      </c>
      <c r="H722" s="38"/>
      <c r="I722" s="39" t="s">
        <v>555</v>
      </c>
      <c r="J722" s="39"/>
      <c r="K722" s="572"/>
      <c r="L722" s="520"/>
      <c r="M722" s="169"/>
      <c r="N722" s="199"/>
      <c r="O722" s="199"/>
    </row>
    <row r="723" spans="1:15" s="1" customFormat="1" ht="12.75">
      <c r="A723" s="224">
        <v>528110</v>
      </c>
      <c r="B723" s="9" t="s">
        <v>290</v>
      </c>
      <c r="C723" s="20"/>
      <c r="D723" s="72"/>
      <c r="E723" s="72"/>
      <c r="F723" s="95"/>
      <c r="G723" s="378">
        <f aca="true" t="shared" si="86" ref="G723:G732">IF(X=0,(IF(Me=0,Sa,Me*Sa)),(IF(Me=0,Sa*X,Me*X*Sa)))</f>
        <v>0</v>
      </c>
      <c r="H723" s="38"/>
      <c r="I723" s="41"/>
      <c r="J723" s="41"/>
      <c r="K723" s="367"/>
      <c r="L723" s="520">
        <f t="shared" si="85"/>
      </c>
      <c r="M723" s="169"/>
      <c r="N723" s="199"/>
      <c r="O723" s="199"/>
    </row>
    <row r="724" spans="1:15" s="1" customFormat="1" ht="12.75">
      <c r="A724" s="224">
        <v>528120</v>
      </c>
      <c r="B724" s="9" t="s">
        <v>291</v>
      </c>
      <c r="C724" s="20"/>
      <c r="D724" s="72"/>
      <c r="E724" s="72"/>
      <c r="F724" s="95"/>
      <c r="G724" s="378">
        <f t="shared" si="86"/>
        <v>0</v>
      </c>
      <c r="H724" s="38"/>
      <c r="I724" s="41"/>
      <c r="J724" s="41"/>
      <c r="K724" s="367"/>
      <c r="L724" s="520">
        <f t="shared" si="85"/>
      </c>
      <c r="M724" s="169"/>
      <c r="N724" s="199"/>
      <c r="O724" s="199"/>
    </row>
    <row r="725" spans="1:15" s="1" customFormat="1" ht="12.75">
      <c r="A725" s="224">
        <v>528128</v>
      </c>
      <c r="B725" s="9" t="s">
        <v>648</v>
      </c>
      <c r="C725" s="20"/>
      <c r="D725" s="72"/>
      <c r="E725" s="72"/>
      <c r="F725" s="95"/>
      <c r="G725" s="378">
        <f t="shared" si="86"/>
        <v>0</v>
      </c>
      <c r="H725" s="38"/>
      <c r="I725" s="41"/>
      <c r="J725" s="41"/>
      <c r="K725" s="367"/>
      <c r="L725" s="520">
        <f t="shared" si="85"/>
      </c>
      <c r="M725" s="169"/>
      <c r="N725" s="199"/>
      <c r="O725" s="199"/>
    </row>
    <row r="726" spans="1:15" s="1" customFormat="1" ht="12.75">
      <c r="A726" s="224">
        <v>528130</v>
      </c>
      <c r="B726" s="12" t="s">
        <v>292</v>
      </c>
      <c r="C726" s="20"/>
      <c r="D726" s="72"/>
      <c r="E726" s="72"/>
      <c r="F726" s="95"/>
      <c r="G726" s="378">
        <f t="shared" si="86"/>
        <v>0</v>
      </c>
      <c r="H726" s="38"/>
      <c r="I726" s="41"/>
      <c r="J726" s="41"/>
      <c r="K726" s="367"/>
      <c r="L726" s="520">
        <f t="shared" si="85"/>
      </c>
      <c r="M726" s="169"/>
      <c r="N726" s="199"/>
      <c r="O726" s="199"/>
    </row>
    <row r="727" spans="1:15" s="1" customFormat="1" ht="12.75">
      <c r="A727" s="224">
        <v>528132</v>
      </c>
      <c r="B727" s="9" t="s">
        <v>293</v>
      </c>
      <c r="C727" s="20"/>
      <c r="D727" s="72"/>
      <c r="E727" s="72"/>
      <c r="F727" s="95"/>
      <c r="G727" s="378">
        <f t="shared" si="86"/>
        <v>0</v>
      </c>
      <c r="H727" s="38"/>
      <c r="I727" s="41"/>
      <c r="J727" s="41"/>
      <c r="K727" s="367"/>
      <c r="L727" s="520">
        <f t="shared" si="85"/>
      </c>
      <c r="M727" s="169"/>
      <c r="N727" s="199"/>
      <c r="O727" s="199"/>
    </row>
    <row r="728" spans="1:15" s="1" customFormat="1" ht="12.75">
      <c r="A728" s="224">
        <v>529011</v>
      </c>
      <c r="B728" s="9" t="s">
        <v>11</v>
      </c>
      <c r="C728" s="20"/>
      <c r="D728" s="72"/>
      <c r="E728" s="72"/>
      <c r="F728" s="95"/>
      <c r="G728" s="378">
        <f t="shared" si="86"/>
        <v>0</v>
      </c>
      <c r="H728" s="38"/>
      <c r="I728" s="41"/>
      <c r="J728" s="41"/>
      <c r="K728" s="367"/>
      <c r="L728" s="520">
        <f t="shared" si="85"/>
      </c>
      <c r="M728" s="169"/>
      <c r="N728" s="199"/>
      <c r="O728" s="199"/>
    </row>
    <row r="729" spans="1:15" s="1" customFormat="1" ht="12.75">
      <c r="A729" s="224">
        <v>529013</v>
      </c>
      <c r="B729" s="9" t="s">
        <v>557</v>
      </c>
      <c r="C729" s="20"/>
      <c r="D729" s="72"/>
      <c r="E729" s="72"/>
      <c r="F729" s="95"/>
      <c r="G729" s="378">
        <f t="shared" si="86"/>
        <v>0</v>
      </c>
      <c r="H729" s="33"/>
      <c r="I729" s="41"/>
      <c r="J729" s="41"/>
      <c r="K729" s="367"/>
      <c r="L729" s="520">
        <f t="shared" si="85"/>
      </c>
      <c r="M729" s="169"/>
      <c r="N729" s="199"/>
      <c r="O729" s="199"/>
    </row>
    <row r="730" spans="1:15" s="1" customFormat="1" ht="12.75">
      <c r="A730" s="224">
        <v>529027</v>
      </c>
      <c r="B730" s="9" t="s">
        <v>15</v>
      </c>
      <c r="C730" s="20"/>
      <c r="D730" s="72"/>
      <c r="E730" s="72"/>
      <c r="F730" s="95"/>
      <c r="G730" s="378">
        <f t="shared" si="86"/>
        <v>0</v>
      </c>
      <c r="H730" s="38"/>
      <c r="I730" s="41"/>
      <c r="J730" s="41"/>
      <c r="K730" s="367"/>
      <c r="L730" s="520">
        <f t="shared" si="85"/>
      </c>
      <c r="M730" s="169"/>
      <c r="N730" s="199"/>
      <c r="O730" s="199"/>
    </row>
    <row r="731" spans="1:15" s="1" customFormat="1" ht="12.75">
      <c r="A731" s="224">
        <v>529050</v>
      </c>
      <c r="B731" s="9" t="s">
        <v>17</v>
      </c>
      <c r="C731" s="20"/>
      <c r="D731" s="72"/>
      <c r="E731" s="72"/>
      <c r="F731" s="95"/>
      <c r="G731" s="378">
        <f t="shared" si="86"/>
        <v>0</v>
      </c>
      <c r="H731" s="38"/>
      <c r="I731" s="41"/>
      <c r="J731" s="41"/>
      <c r="K731" s="367"/>
      <c r="L731" s="520">
        <f t="shared" si="85"/>
      </c>
      <c r="M731" s="169"/>
      <c r="N731" s="199"/>
      <c r="O731" s="199"/>
    </row>
    <row r="732" spans="1:15" s="1" customFormat="1" ht="12.75">
      <c r="A732" s="224">
        <v>529069</v>
      </c>
      <c r="B732" s="218" t="s">
        <v>564</v>
      </c>
      <c r="C732" s="219" t="s">
        <v>416</v>
      </c>
      <c r="D732" s="220"/>
      <c r="E732" s="220"/>
      <c r="F732" s="221"/>
      <c r="G732" s="379">
        <f t="shared" si="86"/>
        <v>0</v>
      </c>
      <c r="H732" s="38"/>
      <c r="I732" s="41"/>
      <c r="J732" s="41"/>
      <c r="K732" s="367"/>
      <c r="L732" s="520">
        <f t="shared" si="85"/>
      </c>
      <c r="M732" s="169"/>
      <c r="N732" s="199"/>
      <c r="O732" s="199"/>
    </row>
    <row r="733" spans="1:15" s="1" customFormat="1" ht="13.5" thickBot="1">
      <c r="A733" s="231" t="s">
        <v>401</v>
      </c>
      <c r="B733" s="6"/>
      <c r="C733" s="22"/>
      <c r="D733" s="44"/>
      <c r="E733" s="71"/>
      <c r="F733" s="90" t="s">
        <v>570</v>
      </c>
      <c r="G733" s="383">
        <f>SUM(G711:G732)</f>
        <v>0</v>
      </c>
      <c r="H733" s="38"/>
      <c r="I733" s="44"/>
      <c r="J733" s="44"/>
      <c r="K733" s="366"/>
      <c r="L733" s="383">
        <f>SUM(L711:L732)</f>
        <v>0</v>
      </c>
      <c r="M733" s="169"/>
      <c r="N733" s="199"/>
      <c r="O733" s="199"/>
    </row>
    <row r="734" spans="1:15" s="1" customFormat="1" ht="0.75" customHeight="1" thickTop="1">
      <c r="A734" s="226"/>
      <c r="C734" s="21"/>
      <c r="D734" s="48"/>
      <c r="E734" s="64"/>
      <c r="F734" s="48"/>
      <c r="G734" s="44"/>
      <c r="H734" s="33"/>
      <c r="I734" s="44"/>
      <c r="J734" s="44"/>
      <c r="K734" s="366"/>
      <c r="L734" s="516"/>
      <c r="M734" s="169"/>
      <c r="N734" s="199"/>
      <c r="O734" s="199"/>
    </row>
    <row r="735" spans="1:15" s="1" customFormat="1" ht="24.75" customHeight="1" thickTop="1">
      <c r="A735" s="228" t="s">
        <v>533</v>
      </c>
      <c r="C735" s="21"/>
      <c r="D735" s="171" t="s">
        <v>422</v>
      </c>
      <c r="E735" s="172" t="s">
        <v>423</v>
      </c>
      <c r="F735" s="171" t="s">
        <v>424</v>
      </c>
      <c r="G735" s="171" t="s">
        <v>425</v>
      </c>
      <c r="H735" s="171" t="s">
        <v>426</v>
      </c>
      <c r="I735" s="173" t="s">
        <v>427</v>
      </c>
      <c r="J735" s="173"/>
      <c r="K735" s="366"/>
      <c r="L735" s="518" t="s">
        <v>688</v>
      </c>
      <c r="M735" s="169"/>
      <c r="N735" s="199"/>
      <c r="O735" s="199"/>
    </row>
    <row r="736" spans="1:15" s="1" customFormat="1" ht="12.75">
      <c r="A736" s="224">
        <v>533210</v>
      </c>
      <c r="B736" s="9" t="s">
        <v>586</v>
      </c>
      <c r="C736" s="20"/>
      <c r="D736" s="72"/>
      <c r="E736" s="72"/>
      <c r="F736" s="95"/>
      <c r="G736" s="377">
        <f aca="true" t="shared" si="87" ref="G736:G754">IF(X=0,(IF(Me=0,Sa,Me*Sa)),(IF(Me=0,Sa*X,Me*X*Sa)))</f>
        <v>0</v>
      </c>
      <c r="H736" s="375">
        <f aca="true" t="shared" si="88" ref="H736:H754">IF(Sum,Sos,0)</f>
        <v>0</v>
      </c>
      <c r="I736" s="376">
        <f aca="true" t="shared" si="89" ref="I736:I754">IF(Prosent&lt;&gt;0,(Sum*Prosent)/100,0)</f>
        <v>0</v>
      </c>
      <c r="J736" s="41"/>
      <c r="K736" s="367"/>
      <c r="L736" s="520">
        <f aca="true" t="shared" si="90" ref="L736:L771">IF(FMVA&lt;&gt;"",(Sum*mva)-Sum,"")</f>
      </c>
      <c r="M736" s="169"/>
      <c r="N736" s="199"/>
      <c r="O736" s="199"/>
    </row>
    <row r="737" spans="1:15" s="1" customFormat="1" ht="12.75">
      <c r="A737" s="224">
        <v>533211</v>
      </c>
      <c r="B737" s="9" t="s">
        <v>587</v>
      </c>
      <c r="C737" s="20"/>
      <c r="D737" s="55"/>
      <c r="E737" s="72"/>
      <c r="F737" s="381">
        <f>IF(D737=0,0,+G736)</f>
        <v>0</v>
      </c>
      <c r="G737" s="378">
        <f t="shared" si="87"/>
        <v>0</v>
      </c>
      <c r="H737" s="375">
        <f t="shared" si="88"/>
        <v>0</v>
      </c>
      <c r="I737" s="376">
        <f t="shared" si="89"/>
        <v>0</v>
      </c>
      <c r="J737" s="41"/>
      <c r="K737" s="367"/>
      <c r="L737" s="520">
        <f t="shared" si="90"/>
      </c>
      <c r="M737" s="169"/>
      <c r="N737" s="199"/>
      <c r="O737" s="199"/>
    </row>
    <row r="738" spans="1:15" s="1" customFormat="1" ht="12.75">
      <c r="A738" s="224">
        <v>533212</v>
      </c>
      <c r="B738" s="9" t="s">
        <v>294</v>
      </c>
      <c r="C738" s="20"/>
      <c r="D738" s="72"/>
      <c r="E738" s="72"/>
      <c r="F738" s="95"/>
      <c r="G738" s="378">
        <f t="shared" si="87"/>
        <v>0</v>
      </c>
      <c r="H738" s="375">
        <f t="shared" si="88"/>
        <v>0</v>
      </c>
      <c r="I738" s="376">
        <f t="shared" si="89"/>
        <v>0</v>
      </c>
      <c r="J738" s="41"/>
      <c r="K738" s="367"/>
      <c r="L738" s="520">
        <f t="shared" si="90"/>
      </c>
      <c r="M738" s="169"/>
      <c r="N738" s="199"/>
      <c r="O738" s="199"/>
    </row>
    <row r="739" spans="1:15" s="1" customFormat="1" ht="12.75">
      <c r="A739" s="224">
        <v>533213</v>
      </c>
      <c r="B739" s="12" t="s">
        <v>295</v>
      </c>
      <c r="C739" s="20"/>
      <c r="D739" s="55"/>
      <c r="E739" s="72"/>
      <c r="F739" s="381">
        <f>IF(D739=0,0,+G738)</f>
        <v>0</v>
      </c>
      <c r="G739" s="378">
        <f t="shared" si="87"/>
        <v>0</v>
      </c>
      <c r="H739" s="375">
        <f t="shared" si="88"/>
        <v>0</v>
      </c>
      <c r="I739" s="376">
        <f t="shared" si="89"/>
        <v>0</v>
      </c>
      <c r="J739" s="41"/>
      <c r="K739" s="367"/>
      <c r="L739" s="520">
        <f t="shared" si="90"/>
      </c>
      <c r="M739" s="169"/>
      <c r="N739" s="199"/>
      <c r="O739" s="199"/>
    </row>
    <row r="740" spans="1:15" s="1" customFormat="1" ht="12.75">
      <c r="A740" s="224">
        <v>533214</v>
      </c>
      <c r="B740" s="9" t="s">
        <v>296</v>
      </c>
      <c r="C740" s="20"/>
      <c r="D740" s="72"/>
      <c r="E740" s="72"/>
      <c r="F740" s="95"/>
      <c r="G740" s="378">
        <f t="shared" si="87"/>
        <v>0</v>
      </c>
      <c r="H740" s="375">
        <f t="shared" si="88"/>
        <v>0</v>
      </c>
      <c r="I740" s="376">
        <f t="shared" si="89"/>
        <v>0</v>
      </c>
      <c r="J740" s="41"/>
      <c r="K740" s="367"/>
      <c r="L740" s="520">
        <f t="shared" si="90"/>
      </c>
      <c r="M740" s="169"/>
      <c r="N740" s="199"/>
      <c r="O740" s="199"/>
    </row>
    <row r="741" spans="1:15" s="1" customFormat="1" ht="12.75">
      <c r="A741" s="224">
        <v>533215</v>
      </c>
      <c r="B741" s="9" t="s">
        <v>297</v>
      </c>
      <c r="C741" s="20"/>
      <c r="D741" s="55"/>
      <c r="E741" s="72"/>
      <c r="F741" s="381">
        <f>IF(D741=0,0,+G740)</f>
        <v>0</v>
      </c>
      <c r="G741" s="378">
        <f t="shared" si="87"/>
        <v>0</v>
      </c>
      <c r="H741" s="375">
        <f t="shared" si="88"/>
        <v>0</v>
      </c>
      <c r="I741" s="376">
        <f t="shared" si="89"/>
        <v>0</v>
      </c>
      <c r="J741" s="41"/>
      <c r="K741" s="367"/>
      <c r="L741" s="520">
        <f t="shared" si="90"/>
      </c>
      <c r="M741" s="169"/>
      <c r="N741" s="199"/>
      <c r="O741" s="199"/>
    </row>
    <row r="742" spans="1:15" s="1" customFormat="1" ht="12.75">
      <c r="A742" s="224">
        <v>533220</v>
      </c>
      <c r="B742" s="9" t="s">
        <v>298</v>
      </c>
      <c r="C742" s="20"/>
      <c r="D742" s="72"/>
      <c r="E742" s="72"/>
      <c r="F742" s="95"/>
      <c r="G742" s="378">
        <f t="shared" si="87"/>
        <v>0</v>
      </c>
      <c r="H742" s="375">
        <f t="shared" si="88"/>
        <v>0</v>
      </c>
      <c r="I742" s="376">
        <f t="shared" si="89"/>
        <v>0</v>
      </c>
      <c r="J742" s="41"/>
      <c r="K742" s="367"/>
      <c r="L742" s="520">
        <f t="shared" si="90"/>
      </c>
      <c r="M742" s="169"/>
      <c r="N742" s="199"/>
      <c r="O742" s="199"/>
    </row>
    <row r="743" spans="1:15" s="1" customFormat="1" ht="12.75">
      <c r="A743" s="224">
        <v>533221</v>
      </c>
      <c r="B743" s="12" t="s">
        <v>299</v>
      </c>
      <c r="C743" s="20"/>
      <c r="D743" s="55"/>
      <c r="E743" s="72"/>
      <c r="F743" s="381">
        <f>IF(D743=0,0,+G742)</f>
        <v>0</v>
      </c>
      <c r="G743" s="378">
        <f t="shared" si="87"/>
        <v>0</v>
      </c>
      <c r="H743" s="375">
        <f t="shared" si="88"/>
        <v>0</v>
      </c>
      <c r="I743" s="376">
        <f t="shared" si="89"/>
        <v>0</v>
      </c>
      <c r="J743" s="41"/>
      <c r="K743" s="367"/>
      <c r="L743" s="520">
        <f t="shared" si="90"/>
      </c>
      <c r="M743" s="169"/>
      <c r="N743" s="199"/>
      <c r="O743" s="199"/>
    </row>
    <row r="744" spans="1:15" s="1" customFormat="1" ht="12.75">
      <c r="A744" s="224">
        <v>533222</v>
      </c>
      <c r="B744" s="9" t="s">
        <v>300</v>
      </c>
      <c r="C744" s="20"/>
      <c r="D744" s="72"/>
      <c r="E744" s="72"/>
      <c r="F744" s="95"/>
      <c r="G744" s="378">
        <f t="shared" si="87"/>
        <v>0</v>
      </c>
      <c r="H744" s="375">
        <f t="shared" si="88"/>
        <v>0</v>
      </c>
      <c r="I744" s="376">
        <f t="shared" si="89"/>
        <v>0</v>
      </c>
      <c r="J744" s="41"/>
      <c r="K744" s="367"/>
      <c r="L744" s="520">
        <f t="shared" si="90"/>
      </c>
      <c r="M744" s="169"/>
      <c r="N744" s="199"/>
      <c r="O744" s="199"/>
    </row>
    <row r="745" spans="1:15" s="1" customFormat="1" ht="12.75">
      <c r="A745" s="224">
        <v>533223</v>
      </c>
      <c r="B745" s="12" t="s">
        <v>301</v>
      </c>
      <c r="C745" s="20"/>
      <c r="D745" s="55"/>
      <c r="E745" s="72"/>
      <c r="F745" s="381">
        <f>IF(D745=0,0,+G744)</f>
        <v>0</v>
      </c>
      <c r="G745" s="378">
        <f t="shared" si="87"/>
        <v>0</v>
      </c>
      <c r="H745" s="375">
        <f t="shared" si="88"/>
        <v>0</v>
      </c>
      <c r="I745" s="376">
        <f t="shared" si="89"/>
        <v>0</v>
      </c>
      <c r="J745" s="41"/>
      <c r="K745" s="367"/>
      <c r="L745" s="520">
        <f t="shared" si="90"/>
      </c>
      <c r="M745" s="169"/>
      <c r="N745" s="199"/>
      <c r="O745" s="199"/>
    </row>
    <row r="746" spans="1:15" s="1" customFormat="1" ht="12.75">
      <c r="A746" s="224">
        <v>533224</v>
      </c>
      <c r="B746" s="9" t="s">
        <v>215</v>
      </c>
      <c r="C746" s="20"/>
      <c r="D746" s="72"/>
      <c r="E746" s="72"/>
      <c r="F746" s="95"/>
      <c r="G746" s="378">
        <f t="shared" si="87"/>
        <v>0</v>
      </c>
      <c r="H746" s="375">
        <f t="shared" si="88"/>
        <v>0</v>
      </c>
      <c r="I746" s="376">
        <f t="shared" si="89"/>
        <v>0</v>
      </c>
      <c r="J746" s="41"/>
      <c r="K746" s="367"/>
      <c r="L746" s="520">
        <f t="shared" si="90"/>
      </c>
      <c r="M746" s="169"/>
      <c r="N746" s="199"/>
      <c r="O746" s="199"/>
    </row>
    <row r="747" spans="1:15" s="1" customFormat="1" ht="12.75">
      <c r="A747" s="224">
        <v>533225</v>
      </c>
      <c r="B747" s="9" t="s">
        <v>302</v>
      </c>
      <c r="C747" s="20"/>
      <c r="D747" s="55"/>
      <c r="E747" s="72"/>
      <c r="F747" s="381">
        <f>IF(D747=0,0,+G746)</f>
        <v>0</v>
      </c>
      <c r="G747" s="378">
        <f t="shared" si="87"/>
        <v>0</v>
      </c>
      <c r="H747" s="375">
        <f t="shared" si="88"/>
        <v>0</v>
      </c>
      <c r="I747" s="376">
        <f t="shared" si="89"/>
        <v>0</v>
      </c>
      <c r="J747" s="41"/>
      <c r="K747" s="367"/>
      <c r="L747" s="520">
        <f t="shared" si="90"/>
      </c>
      <c r="M747" s="169"/>
      <c r="N747" s="199"/>
      <c r="O747" s="199"/>
    </row>
    <row r="748" spans="1:15" s="1" customFormat="1" ht="12.75">
      <c r="A748" s="224">
        <v>533230</v>
      </c>
      <c r="B748" s="9" t="s">
        <v>303</v>
      </c>
      <c r="C748" s="20"/>
      <c r="D748" s="72"/>
      <c r="E748" s="72"/>
      <c r="F748" s="95"/>
      <c r="G748" s="378">
        <f t="shared" si="87"/>
        <v>0</v>
      </c>
      <c r="H748" s="375">
        <f t="shared" si="88"/>
        <v>0</v>
      </c>
      <c r="I748" s="376">
        <f t="shared" si="89"/>
        <v>0</v>
      </c>
      <c r="J748" s="41"/>
      <c r="K748" s="367"/>
      <c r="L748" s="520">
        <f t="shared" si="90"/>
      </c>
      <c r="M748" s="169"/>
      <c r="N748" s="199"/>
      <c r="O748" s="199"/>
    </row>
    <row r="749" spans="1:15" s="1" customFormat="1" ht="12.75">
      <c r="A749" s="224">
        <v>533231</v>
      </c>
      <c r="B749" s="12" t="s">
        <v>304</v>
      </c>
      <c r="C749" s="20"/>
      <c r="D749" s="55"/>
      <c r="E749" s="72"/>
      <c r="F749" s="381">
        <f>IF(D749=0,0,+G748)</f>
        <v>0</v>
      </c>
      <c r="G749" s="378">
        <f t="shared" si="87"/>
        <v>0</v>
      </c>
      <c r="H749" s="375">
        <f t="shared" si="88"/>
        <v>0</v>
      </c>
      <c r="I749" s="376">
        <f t="shared" si="89"/>
        <v>0</v>
      </c>
      <c r="J749" s="41"/>
      <c r="K749" s="367"/>
      <c r="L749" s="520">
        <f t="shared" si="90"/>
      </c>
      <c r="M749" s="169"/>
      <c r="N749" s="199"/>
      <c r="O749" s="199"/>
    </row>
    <row r="750" spans="1:15" s="1" customFormat="1" ht="12.75">
      <c r="A750" s="224">
        <v>533240</v>
      </c>
      <c r="B750" s="9" t="s">
        <v>305</v>
      </c>
      <c r="C750" s="20"/>
      <c r="D750" s="72"/>
      <c r="E750" s="72"/>
      <c r="F750" s="95"/>
      <c r="G750" s="378">
        <f t="shared" si="87"/>
        <v>0</v>
      </c>
      <c r="H750" s="375">
        <f t="shared" si="88"/>
        <v>0</v>
      </c>
      <c r="I750" s="376">
        <f t="shared" si="89"/>
        <v>0</v>
      </c>
      <c r="J750" s="41"/>
      <c r="K750" s="367"/>
      <c r="L750" s="520">
        <f t="shared" si="90"/>
      </c>
      <c r="M750" s="169"/>
      <c r="N750" s="199"/>
      <c r="O750" s="199"/>
    </row>
    <row r="751" spans="1:15" s="1" customFormat="1" ht="12.75">
      <c r="A751" s="224">
        <v>533241</v>
      </c>
      <c r="B751" s="9" t="s">
        <v>306</v>
      </c>
      <c r="C751" s="20"/>
      <c r="D751" s="55"/>
      <c r="E751" s="72"/>
      <c r="F751" s="381">
        <f>IF(D751=0,0,+G750)</f>
        <v>0</v>
      </c>
      <c r="G751" s="378">
        <f t="shared" si="87"/>
        <v>0</v>
      </c>
      <c r="H751" s="375">
        <f t="shared" si="88"/>
        <v>0</v>
      </c>
      <c r="I751" s="376">
        <f t="shared" si="89"/>
        <v>0</v>
      </c>
      <c r="J751" s="41"/>
      <c r="K751" s="367"/>
      <c r="L751" s="520">
        <f t="shared" si="90"/>
      </c>
      <c r="M751" s="169"/>
      <c r="N751" s="199"/>
      <c r="O751" s="199"/>
    </row>
    <row r="752" spans="1:15" s="1" customFormat="1" ht="12.75">
      <c r="A752" s="224">
        <v>533250</v>
      </c>
      <c r="B752" s="9" t="s">
        <v>307</v>
      </c>
      <c r="C752" s="20"/>
      <c r="D752" s="72"/>
      <c r="E752" s="72"/>
      <c r="F752" s="95"/>
      <c r="G752" s="378">
        <f t="shared" si="87"/>
        <v>0</v>
      </c>
      <c r="H752" s="375">
        <f t="shared" si="88"/>
        <v>0</v>
      </c>
      <c r="I752" s="376">
        <f t="shared" si="89"/>
        <v>0</v>
      </c>
      <c r="J752" s="41"/>
      <c r="K752" s="367"/>
      <c r="L752" s="520">
        <f t="shared" si="90"/>
      </c>
      <c r="M752" s="169"/>
      <c r="N752" s="199"/>
      <c r="O752" s="199"/>
    </row>
    <row r="753" spans="1:15" s="1" customFormat="1" ht="12.75">
      <c r="A753" s="224">
        <v>533251</v>
      </c>
      <c r="B753" s="9" t="s">
        <v>308</v>
      </c>
      <c r="C753" s="20"/>
      <c r="D753" s="55"/>
      <c r="E753" s="72"/>
      <c r="F753" s="381">
        <f>IF(D753=0,0,+G752)</f>
        <v>0</v>
      </c>
      <c r="G753" s="378">
        <f t="shared" si="87"/>
        <v>0</v>
      </c>
      <c r="H753" s="375">
        <f t="shared" si="88"/>
        <v>0</v>
      </c>
      <c r="I753" s="376">
        <f t="shared" si="89"/>
        <v>0</v>
      </c>
      <c r="J753" s="41"/>
      <c r="K753" s="367"/>
      <c r="L753" s="520">
        <f t="shared" si="90"/>
      </c>
      <c r="M753" s="169"/>
      <c r="N753" s="199"/>
      <c r="O753" s="199"/>
    </row>
    <row r="754" spans="1:15" s="1" customFormat="1" ht="12.75">
      <c r="A754" s="224">
        <v>534092</v>
      </c>
      <c r="B754" s="9" t="s">
        <v>590</v>
      </c>
      <c r="C754" s="20"/>
      <c r="D754" s="72"/>
      <c r="E754" s="72"/>
      <c r="F754" s="95"/>
      <c r="G754" s="378">
        <f t="shared" si="87"/>
        <v>0</v>
      </c>
      <c r="H754" s="375">
        <f t="shared" si="88"/>
        <v>0</v>
      </c>
      <c r="I754" s="376">
        <f t="shared" si="89"/>
        <v>0</v>
      </c>
      <c r="J754" s="41"/>
      <c r="K754" s="367"/>
      <c r="L754" s="520">
        <f t="shared" si="90"/>
      </c>
      <c r="M754" s="169"/>
      <c r="N754" s="199"/>
      <c r="O754" s="199"/>
    </row>
    <row r="755" spans="1:15" s="1" customFormat="1" ht="12.75">
      <c r="A755" s="224">
        <v>534095</v>
      </c>
      <c r="B755" s="9" t="s">
        <v>554</v>
      </c>
      <c r="C755" s="20"/>
      <c r="D755" s="73"/>
      <c r="E755" s="73"/>
      <c r="F755" s="98"/>
      <c r="G755" s="384">
        <f>SUM(I736:I754)</f>
        <v>0</v>
      </c>
      <c r="H755" s="33"/>
      <c r="I755" s="39" t="s">
        <v>555</v>
      </c>
      <c r="J755" s="39"/>
      <c r="K755" s="572"/>
      <c r="L755" s="520"/>
      <c r="M755" s="169"/>
      <c r="N755" s="199"/>
      <c r="O755" s="199"/>
    </row>
    <row r="756" spans="1:15" s="1" customFormat="1" ht="12.75">
      <c r="A756" s="224">
        <v>538201</v>
      </c>
      <c r="B756" s="12" t="s">
        <v>309</v>
      </c>
      <c r="C756" s="20"/>
      <c r="D756" s="72"/>
      <c r="E756" s="72"/>
      <c r="F756" s="95"/>
      <c r="G756" s="378">
        <f aca="true" t="shared" si="91" ref="G756:G771">IF(X=0,(IF(Me=0,Sa,Me*Sa)),(IF(Me=0,Sa*X,Me*X*Sa)))</f>
        <v>0</v>
      </c>
      <c r="H756" s="38"/>
      <c r="I756" s="41"/>
      <c r="J756" s="41"/>
      <c r="K756" s="367"/>
      <c r="L756" s="520">
        <f t="shared" si="90"/>
      </c>
      <c r="M756" s="169"/>
      <c r="N756" s="199"/>
      <c r="O756" s="199"/>
    </row>
    <row r="757" spans="1:15" s="1" customFormat="1" ht="12.75">
      <c r="A757" s="224">
        <v>538220</v>
      </c>
      <c r="B757" s="9" t="s">
        <v>310</v>
      </c>
      <c r="C757" s="20"/>
      <c r="D757" s="72"/>
      <c r="E757" s="72"/>
      <c r="F757" s="95"/>
      <c r="G757" s="378">
        <f t="shared" si="91"/>
        <v>0</v>
      </c>
      <c r="H757" s="38"/>
      <c r="I757" s="41"/>
      <c r="J757" s="41"/>
      <c r="K757" s="367"/>
      <c r="L757" s="520">
        <f t="shared" si="90"/>
      </c>
      <c r="M757" s="169"/>
      <c r="N757" s="199"/>
      <c r="O757" s="199"/>
    </row>
    <row r="758" spans="1:15" s="1" customFormat="1" ht="12.75">
      <c r="A758" s="224">
        <v>538232</v>
      </c>
      <c r="B758" s="9" t="s">
        <v>311</v>
      </c>
      <c r="C758" s="20"/>
      <c r="D758" s="72"/>
      <c r="E758" s="72"/>
      <c r="F758" s="95"/>
      <c r="G758" s="378">
        <f t="shared" si="91"/>
        <v>0</v>
      </c>
      <c r="H758" s="33"/>
      <c r="I758" s="41"/>
      <c r="J758" s="41"/>
      <c r="K758" s="367"/>
      <c r="L758" s="520">
        <f t="shared" si="90"/>
      </c>
      <c r="M758" s="169"/>
      <c r="N758" s="199"/>
      <c r="O758" s="199"/>
    </row>
    <row r="759" spans="1:15" s="1" customFormat="1" ht="12.75">
      <c r="A759" s="224">
        <v>538233</v>
      </c>
      <c r="B759" s="9" t="s">
        <v>317</v>
      </c>
      <c r="C759" s="20"/>
      <c r="D759" s="72"/>
      <c r="E759" s="72"/>
      <c r="F759" s="95"/>
      <c r="G759" s="378">
        <f t="shared" si="91"/>
        <v>0</v>
      </c>
      <c r="H759" s="38"/>
      <c r="I759" s="41"/>
      <c r="J759" s="41"/>
      <c r="K759" s="367"/>
      <c r="L759" s="520">
        <f t="shared" si="90"/>
      </c>
      <c r="M759" s="169"/>
      <c r="N759" s="199"/>
      <c r="O759" s="199"/>
    </row>
    <row r="760" spans="1:15" s="1" customFormat="1" ht="12.75">
      <c r="A760" s="224">
        <v>538239</v>
      </c>
      <c r="B760" s="9" t="s">
        <v>318</v>
      </c>
      <c r="C760" s="20"/>
      <c r="D760" s="72"/>
      <c r="E760" s="72"/>
      <c r="F760" s="95"/>
      <c r="G760" s="378">
        <f t="shared" si="91"/>
        <v>0</v>
      </c>
      <c r="H760" s="38"/>
      <c r="I760" s="41"/>
      <c r="J760" s="41"/>
      <c r="K760" s="367"/>
      <c r="L760" s="520">
        <f t="shared" si="90"/>
      </c>
      <c r="M760" s="169"/>
      <c r="N760" s="199"/>
      <c r="O760" s="199"/>
    </row>
    <row r="761" spans="1:15" s="1" customFormat="1" ht="12.75">
      <c r="A761" s="224">
        <v>538240</v>
      </c>
      <c r="B761" s="9" t="s">
        <v>319</v>
      </c>
      <c r="C761" s="20"/>
      <c r="D761" s="72"/>
      <c r="E761" s="72"/>
      <c r="F761" s="95"/>
      <c r="G761" s="378">
        <f t="shared" si="91"/>
        <v>0</v>
      </c>
      <c r="H761" s="38"/>
      <c r="I761" s="41"/>
      <c r="J761" s="41"/>
      <c r="K761" s="367"/>
      <c r="L761" s="520">
        <f t="shared" si="90"/>
      </c>
      <c r="M761" s="169"/>
      <c r="N761" s="199"/>
      <c r="O761" s="199"/>
    </row>
    <row r="762" spans="1:15" s="1" customFormat="1" ht="12.75">
      <c r="A762" s="224">
        <v>538250</v>
      </c>
      <c r="B762" s="9" t="s">
        <v>320</v>
      </c>
      <c r="C762" s="20"/>
      <c r="D762" s="72"/>
      <c r="E762" s="72"/>
      <c r="F762" s="95"/>
      <c r="G762" s="378">
        <f t="shared" si="91"/>
        <v>0</v>
      </c>
      <c r="H762" s="33"/>
      <c r="I762" s="41"/>
      <c r="J762" s="41"/>
      <c r="K762" s="367"/>
      <c r="L762" s="520">
        <f t="shared" si="90"/>
      </c>
      <c r="M762" s="169"/>
      <c r="N762" s="199"/>
      <c r="O762" s="199"/>
    </row>
    <row r="763" spans="1:15" s="1" customFormat="1" ht="12.75">
      <c r="A763" s="224">
        <v>538260</v>
      </c>
      <c r="B763" s="9" t="s">
        <v>321</v>
      </c>
      <c r="C763" s="20"/>
      <c r="D763" s="72"/>
      <c r="E763" s="72"/>
      <c r="F763" s="95"/>
      <c r="G763" s="378">
        <f t="shared" si="91"/>
        <v>0</v>
      </c>
      <c r="H763" s="38"/>
      <c r="I763" s="41"/>
      <c r="J763" s="41"/>
      <c r="K763" s="367"/>
      <c r="L763" s="520">
        <f t="shared" si="90"/>
      </c>
      <c r="M763" s="169"/>
      <c r="N763" s="199"/>
      <c r="O763" s="199"/>
    </row>
    <row r="764" spans="1:15" s="1" customFormat="1" ht="12.75">
      <c r="A764" s="224">
        <v>538261</v>
      </c>
      <c r="B764" s="9" t="s">
        <v>322</v>
      </c>
      <c r="C764" s="20"/>
      <c r="D764" s="72"/>
      <c r="E764" s="72"/>
      <c r="F764" s="95"/>
      <c r="G764" s="378">
        <f t="shared" si="91"/>
        <v>0</v>
      </c>
      <c r="H764" s="38"/>
      <c r="I764" s="41"/>
      <c r="J764" s="41"/>
      <c r="K764" s="367"/>
      <c r="L764" s="520">
        <f t="shared" si="90"/>
      </c>
      <c r="M764" s="169"/>
      <c r="N764" s="199"/>
      <c r="O764" s="199"/>
    </row>
    <row r="765" spans="1:15" s="1" customFormat="1" ht="12.75">
      <c r="A765" s="224">
        <v>538264</v>
      </c>
      <c r="B765" s="9" t="s">
        <v>323</v>
      </c>
      <c r="C765" s="20"/>
      <c r="D765" s="72"/>
      <c r="E765" s="72"/>
      <c r="F765" s="95"/>
      <c r="G765" s="378">
        <f t="shared" si="91"/>
        <v>0</v>
      </c>
      <c r="H765" s="38"/>
      <c r="I765" s="41"/>
      <c r="J765" s="41"/>
      <c r="K765" s="367"/>
      <c r="L765" s="520">
        <f t="shared" si="90"/>
      </c>
      <c r="M765" s="169"/>
      <c r="N765" s="199"/>
      <c r="O765" s="199"/>
    </row>
    <row r="766" spans="1:15" s="1" customFormat="1" ht="12.75">
      <c r="A766" s="224">
        <v>538266</v>
      </c>
      <c r="B766" s="9" t="s">
        <v>324</v>
      </c>
      <c r="C766" s="20"/>
      <c r="D766" s="72"/>
      <c r="E766" s="72"/>
      <c r="F766" s="95"/>
      <c r="G766" s="378">
        <f t="shared" si="91"/>
        <v>0</v>
      </c>
      <c r="H766" s="38"/>
      <c r="I766" s="41"/>
      <c r="J766" s="41"/>
      <c r="K766" s="367"/>
      <c r="L766" s="520">
        <f t="shared" si="90"/>
      </c>
      <c r="M766" s="169"/>
      <c r="N766" s="199"/>
      <c r="O766" s="199"/>
    </row>
    <row r="767" spans="1:15" s="1" customFormat="1" ht="12.75">
      <c r="A767" s="224">
        <v>538270</v>
      </c>
      <c r="B767" s="9" t="s">
        <v>325</v>
      </c>
      <c r="C767" s="20"/>
      <c r="D767" s="72"/>
      <c r="E767" s="72"/>
      <c r="F767" s="95"/>
      <c r="G767" s="378">
        <f t="shared" si="91"/>
        <v>0</v>
      </c>
      <c r="H767" s="38"/>
      <c r="I767" s="41"/>
      <c r="J767" s="41"/>
      <c r="K767" s="367"/>
      <c r="L767" s="520">
        <f t="shared" si="90"/>
      </c>
      <c r="M767" s="169"/>
      <c r="N767" s="199"/>
      <c r="O767" s="199"/>
    </row>
    <row r="768" spans="1:15" s="1" customFormat="1" ht="12.75">
      <c r="A768" s="224">
        <v>538280</v>
      </c>
      <c r="B768" s="9" t="s">
        <v>326</v>
      </c>
      <c r="C768" s="20"/>
      <c r="D768" s="72"/>
      <c r="E768" s="72"/>
      <c r="F768" s="95"/>
      <c r="G768" s="378">
        <f t="shared" si="91"/>
        <v>0</v>
      </c>
      <c r="H768" s="38"/>
      <c r="I768" s="41"/>
      <c r="J768" s="41"/>
      <c r="K768" s="367"/>
      <c r="L768" s="520">
        <f t="shared" si="90"/>
      </c>
      <c r="M768" s="169"/>
      <c r="N768" s="199"/>
      <c r="O768" s="199"/>
    </row>
    <row r="769" spans="1:15" s="1" customFormat="1" ht="12.75">
      <c r="A769" s="224">
        <v>538281</v>
      </c>
      <c r="B769" s="9" t="s">
        <v>327</v>
      </c>
      <c r="C769" s="20"/>
      <c r="D769" s="72"/>
      <c r="E769" s="72"/>
      <c r="F769" s="95"/>
      <c r="G769" s="378">
        <f t="shared" si="91"/>
        <v>0</v>
      </c>
      <c r="H769" s="38"/>
      <c r="I769" s="41"/>
      <c r="J769" s="41"/>
      <c r="K769" s="367"/>
      <c r="L769" s="520">
        <f t="shared" si="90"/>
      </c>
      <c r="M769" s="169"/>
      <c r="N769" s="199"/>
      <c r="O769" s="199"/>
    </row>
    <row r="770" spans="1:15" s="1" customFormat="1" ht="12.75">
      <c r="A770" s="224">
        <v>539027</v>
      </c>
      <c r="B770" s="9" t="s">
        <v>15</v>
      </c>
      <c r="C770" s="20"/>
      <c r="D770" s="72"/>
      <c r="E770" s="72"/>
      <c r="F770" s="95"/>
      <c r="G770" s="378">
        <f t="shared" si="91"/>
        <v>0</v>
      </c>
      <c r="H770" s="38"/>
      <c r="I770" s="41"/>
      <c r="J770" s="41"/>
      <c r="K770" s="367"/>
      <c r="L770" s="520">
        <f t="shared" si="90"/>
      </c>
      <c r="M770" s="169"/>
      <c r="N770" s="199"/>
      <c r="O770" s="199"/>
    </row>
    <row r="771" spans="1:15" s="1" customFormat="1" ht="12.75">
      <c r="A771" s="224">
        <v>539069</v>
      </c>
      <c r="B771" s="218" t="s">
        <v>564</v>
      </c>
      <c r="C771" s="219" t="s">
        <v>416</v>
      </c>
      <c r="D771" s="220"/>
      <c r="E771" s="220"/>
      <c r="F771" s="221"/>
      <c r="G771" s="379">
        <f t="shared" si="91"/>
        <v>0</v>
      </c>
      <c r="H771" s="38"/>
      <c r="I771" s="41"/>
      <c r="J771" s="41"/>
      <c r="K771" s="367"/>
      <c r="L771" s="520">
        <f t="shared" si="90"/>
      </c>
      <c r="M771" s="169"/>
      <c r="N771" s="199"/>
      <c r="O771" s="199"/>
    </row>
    <row r="772" spans="1:15" s="1" customFormat="1" ht="13.5" thickBot="1">
      <c r="A772" s="231" t="s">
        <v>401</v>
      </c>
      <c r="B772" s="6"/>
      <c r="C772" s="22"/>
      <c r="D772" s="44"/>
      <c r="E772" s="71"/>
      <c r="F772" s="90" t="s">
        <v>570</v>
      </c>
      <c r="G772" s="383">
        <f>SUM(G736:G771)</f>
        <v>0</v>
      </c>
      <c r="H772" s="38"/>
      <c r="I772" s="44"/>
      <c r="J772" s="44"/>
      <c r="K772" s="366"/>
      <c r="L772" s="383">
        <f>SUM(L736:L771)</f>
        <v>0</v>
      </c>
      <c r="M772" s="169"/>
      <c r="N772" s="199"/>
      <c r="O772" s="199"/>
    </row>
    <row r="773" spans="1:15" s="1" customFormat="1" ht="0.75" customHeight="1" thickTop="1">
      <c r="A773" s="226"/>
      <c r="C773" s="21"/>
      <c r="D773" s="48"/>
      <c r="E773" s="64"/>
      <c r="F773" s="48"/>
      <c r="G773" s="44"/>
      <c r="H773" s="33"/>
      <c r="I773" s="41"/>
      <c r="J773" s="41"/>
      <c r="K773" s="366"/>
      <c r="L773" s="516"/>
      <c r="M773" s="169"/>
      <c r="N773" s="199"/>
      <c r="O773" s="199"/>
    </row>
    <row r="774" spans="1:15" s="1" customFormat="1" ht="24.75" customHeight="1" thickTop="1">
      <c r="A774" s="228" t="s">
        <v>534</v>
      </c>
      <c r="B774" s="16"/>
      <c r="C774" s="21"/>
      <c r="D774" s="171" t="s">
        <v>422</v>
      </c>
      <c r="E774" s="172" t="s">
        <v>423</v>
      </c>
      <c r="F774" s="171" t="s">
        <v>424</v>
      </c>
      <c r="G774" s="171" t="s">
        <v>425</v>
      </c>
      <c r="H774" s="171" t="s">
        <v>426</v>
      </c>
      <c r="I774" s="173" t="s">
        <v>427</v>
      </c>
      <c r="J774" s="173"/>
      <c r="K774" s="366"/>
      <c r="L774" s="518" t="s">
        <v>688</v>
      </c>
      <c r="M774" s="169"/>
      <c r="N774" s="199"/>
      <c r="O774" s="199"/>
    </row>
    <row r="775" spans="1:15" s="1" customFormat="1" ht="12.75">
      <c r="A775" s="224">
        <v>543310</v>
      </c>
      <c r="B775" s="9" t="s">
        <v>329</v>
      </c>
      <c r="C775" s="20"/>
      <c r="D775" s="72"/>
      <c r="E775" s="72"/>
      <c r="F775" s="95"/>
      <c r="G775" s="377">
        <f aca="true" t="shared" si="92" ref="G775:G781">IF(X=0,(IF(Me=0,Sa,Me*Sa)),(IF(Me=0,Sa*X,Me*X*Sa)))</f>
        <v>0</v>
      </c>
      <c r="H775" s="375">
        <f aca="true" t="shared" si="93" ref="H775:H781">IF(Sum,Sos,0)</f>
        <v>0</v>
      </c>
      <c r="I775" s="376">
        <f aca="true" t="shared" si="94" ref="I775:I781">IF(Prosent&lt;&gt;0,(Sum*Prosent)/100,0)</f>
        <v>0</v>
      </c>
      <c r="J775" s="41"/>
      <c r="K775" s="367"/>
      <c r="L775" s="520">
        <f aca="true" t="shared" si="95" ref="L775:L795">IF(FMVA&lt;&gt;"",(Sum*mva)-Sum,"")</f>
      </c>
      <c r="M775" s="169"/>
      <c r="N775" s="199"/>
      <c r="O775" s="199"/>
    </row>
    <row r="776" spans="1:15" s="1" customFormat="1" ht="12.75">
      <c r="A776" s="224">
        <v>543312</v>
      </c>
      <c r="B776" s="9" t="s">
        <v>330</v>
      </c>
      <c r="C776" s="20"/>
      <c r="D776" s="72"/>
      <c r="E776" s="72"/>
      <c r="F776" s="95"/>
      <c r="G776" s="378">
        <f t="shared" si="92"/>
        <v>0</v>
      </c>
      <c r="H776" s="375">
        <f t="shared" si="93"/>
        <v>0</v>
      </c>
      <c r="I776" s="376">
        <f t="shared" si="94"/>
        <v>0</v>
      </c>
      <c r="J776" s="41"/>
      <c r="K776" s="367"/>
      <c r="L776" s="520">
        <f t="shared" si="95"/>
      </c>
      <c r="M776" s="169"/>
      <c r="N776" s="199"/>
      <c r="O776" s="199"/>
    </row>
    <row r="777" spans="1:15" s="1" customFormat="1" ht="12.75">
      <c r="A777" s="224">
        <v>543314</v>
      </c>
      <c r="B777" s="9" t="s">
        <v>331</v>
      </c>
      <c r="C777" s="20"/>
      <c r="D777" s="72"/>
      <c r="E777" s="72"/>
      <c r="F777" s="95"/>
      <c r="G777" s="378">
        <f t="shared" si="92"/>
        <v>0</v>
      </c>
      <c r="H777" s="375">
        <f t="shared" si="93"/>
        <v>0</v>
      </c>
      <c r="I777" s="376">
        <f t="shared" si="94"/>
        <v>0</v>
      </c>
      <c r="J777" s="41"/>
      <c r="K777" s="367"/>
      <c r="L777" s="520">
        <f t="shared" si="95"/>
      </c>
      <c r="M777" s="169"/>
      <c r="N777" s="199"/>
      <c r="O777" s="199"/>
    </row>
    <row r="778" spans="1:15" s="1" customFormat="1" ht="12.75">
      <c r="A778" s="224">
        <v>543320</v>
      </c>
      <c r="B778" s="9" t="s">
        <v>332</v>
      </c>
      <c r="C778" s="20"/>
      <c r="D778" s="72"/>
      <c r="E778" s="72"/>
      <c r="F778" s="95"/>
      <c r="G778" s="378">
        <f t="shared" si="92"/>
        <v>0</v>
      </c>
      <c r="H778" s="375">
        <f t="shared" si="93"/>
        <v>0</v>
      </c>
      <c r="I778" s="376">
        <f t="shared" si="94"/>
        <v>0</v>
      </c>
      <c r="J778" s="41"/>
      <c r="K778" s="367"/>
      <c r="L778" s="520">
        <f t="shared" si="95"/>
      </c>
      <c r="M778" s="169"/>
      <c r="N778" s="199"/>
      <c r="O778" s="199"/>
    </row>
    <row r="779" spans="1:15" s="1" customFormat="1" ht="12.75">
      <c r="A779" s="224">
        <v>543321</v>
      </c>
      <c r="B779" s="9" t="s">
        <v>333</v>
      </c>
      <c r="C779" s="20"/>
      <c r="D779" s="72"/>
      <c r="E779" s="72"/>
      <c r="F779" s="95"/>
      <c r="G779" s="378">
        <f t="shared" si="92"/>
        <v>0</v>
      </c>
      <c r="H779" s="375">
        <f t="shared" si="93"/>
        <v>0</v>
      </c>
      <c r="I779" s="376">
        <f t="shared" si="94"/>
        <v>0</v>
      </c>
      <c r="J779" s="41"/>
      <c r="K779" s="367"/>
      <c r="L779" s="520">
        <f t="shared" si="95"/>
      </c>
      <c r="M779" s="169"/>
      <c r="N779" s="199"/>
      <c r="O779" s="199"/>
    </row>
    <row r="780" spans="1:15" s="1" customFormat="1" ht="12.75">
      <c r="A780" s="224">
        <v>543322</v>
      </c>
      <c r="B780" s="9" t="s">
        <v>334</v>
      </c>
      <c r="C780" s="20"/>
      <c r="D780" s="72"/>
      <c r="E780" s="72"/>
      <c r="F780" s="95"/>
      <c r="G780" s="378">
        <f t="shared" si="92"/>
        <v>0</v>
      </c>
      <c r="H780" s="375">
        <f t="shared" si="93"/>
        <v>0</v>
      </c>
      <c r="I780" s="376">
        <f t="shared" si="94"/>
        <v>0</v>
      </c>
      <c r="J780" s="41"/>
      <c r="K780" s="367"/>
      <c r="L780" s="520">
        <f t="shared" si="95"/>
      </c>
      <c r="M780" s="169"/>
      <c r="N780" s="199"/>
      <c r="O780" s="199"/>
    </row>
    <row r="781" spans="1:15" s="1" customFormat="1" ht="12.75">
      <c r="A781" s="224">
        <v>543323</v>
      </c>
      <c r="B781" s="9" t="s">
        <v>335</v>
      </c>
      <c r="C781" s="20"/>
      <c r="D781" s="72"/>
      <c r="E781" s="72"/>
      <c r="F781" s="95"/>
      <c r="G781" s="378">
        <f t="shared" si="92"/>
        <v>0</v>
      </c>
      <c r="H781" s="375">
        <f t="shared" si="93"/>
        <v>0</v>
      </c>
      <c r="I781" s="376">
        <f t="shared" si="94"/>
        <v>0</v>
      </c>
      <c r="J781" s="41"/>
      <c r="K781" s="367"/>
      <c r="L781" s="520">
        <f t="shared" si="95"/>
      </c>
      <c r="M781" s="169"/>
      <c r="N781" s="199"/>
      <c r="O781" s="199"/>
    </row>
    <row r="782" spans="1:15" s="1" customFormat="1" ht="12.75">
      <c r="A782" s="224">
        <v>544095</v>
      </c>
      <c r="B782" s="9" t="s">
        <v>554</v>
      </c>
      <c r="C782" s="20"/>
      <c r="D782" s="73"/>
      <c r="E782" s="73"/>
      <c r="F782" s="98"/>
      <c r="G782" s="384">
        <f>SUM(I775:I781)</f>
        <v>0</v>
      </c>
      <c r="H782" s="38"/>
      <c r="I782" s="39" t="s">
        <v>555</v>
      </c>
      <c r="J782" s="39"/>
      <c r="K782" s="572"/>
      <c r="L782" s="520"/>
      <c r="M782" s="169"/>
      <c r="N782" s="199"/>
      <c r="O782" s="199"/>
    </row>
    <row r="783" spans="1:15" s="1" customFormat="1" ht="12.75">
      <c r="A783" s="224">
        <v>548301</v>
      </c>
      <c r="B783" s="9" t="s">
        <v>336</v>
      </c>
      <c r="C783" s="20"/>
      <c r="D783" s="72"/>
      <c r="E783" s="72"/>
      <c r="F783" s="95"/>
      <c r="G783" s="378">
        <f aca="true" t="shared" si="96" ref="G783:G795">IF(X=0,(IF(Me=0,Sa,Me*Sa)),(IF(Me=0,Sa*X,Me*X*Sa)))</f>
        <v>0</v>
      </c>
      <c r="H783" s="38"/>
      <c r="I783" s="41"/>
      <c r="J783" s="41"/>
      <c r="K783" s="367"/>
      <c r="L783" s="520">
        <f t="shared" si="95"/>
      </c>
      <c r="M783" s="169"/>
      <c r="N783" s="199"/>
      <c r="O783" s="199"/>
    </row>
    <row r="784" spans="1:15" s="1" customFormat="1" ht="12.75">
      <c r="A784" s="224">
        <v>548320</v>
      </c>
      <c r="B784" s="12" t="s">
        <v>337</v>
      </c>
      <c r="C784" s="20"/>
      <c r="D784" s="72"/>
      <c r="E784" s="72"/>
      <c r="F784" s="95"/>
      <c r="G784" s="378">
        <f t="shared" si="96"/>
        <v>0</v>
      </c>
      <c r="H784" s="38"/>
      <c r="I784" s="41"/>
      <c r="J784" s="41"/>
      <c r="K784" s="367"/>
      <c r="L784" s="520">
        <f t="shared" si="95"/>
      </c>
      <c r="M784" s="169"/>
      <c r="N784" s="199"/>
      <c r="O784" s="199"/>
    </row>
    <row r="785" spans="1:15" s="1" customFormat="1" ht="12.75">
      <c r="A785" s="224">
        <v>548321</v>
      </c>
      <c r="B785" s="9" t="s">
        <v>338</v>
      </c>
      <c r="C785" s="20"/>
      <c r="D785" s="72"/>
      <c r="E785" s="72"/>
      <c r="F785" s="95"/>
      <c r="G785" s="378">
        <f t="shared" si="96"/>
        <v>0</v>
      </c>
      <c r="H785" s="38"/>
      <c r="I785" s="41"/>
      <c r="J785" s="41"/>
      <c r="K785" s="367"/>
      <c r="L785" s="520">
        <f t="shared" si="95"/>
      </c>
      <c r="M785" s="169"/>
      <c r="N785" s="199"/>
      <c r="O785" s="199"/>
    </row>
    <row r="786" spans="1:15" s="1" customFormat="1" ht="12.75">
      <c r="A786" s="224">
        <v>548322</v>
      </c>
      <c r="B786" s="9" t="s">
        <v>339</v>
      </c>
      <c r="C786" s="20"/>
      <c r="D786" s="72"/>
      <c r="E786" s="72"/>
      <c r="F786" s="95"/>
      <c r="G786" s="378">
        <f t="shared" si="96"/>
        <v>0</v>
      </c>
      <c r="H786" s="38"/>
      <c r="I786" s="41"/>
      <c r="J786" s="41"/>
      <c r="K786" s="367"/>
      <c r="L786" s="520">
        <f t="shared" si="95"/>
      </c>
      <c r="M786" s="169"/>
      <c r="N786" s="199"/>
      <c r="O786" s="199"/>
    </row>
    <row r="787" spans="1:15" s="1" customFormat="1" ht="12.75">
      <c r="A787" s="224">
        <v>548330</v>
      </c>
      <c r="B787" s="9" t="s">
        <v>340</v>
      </c>
      <c r="C787" s="20"/>
      <c r="D787" s="72"/>
      <c r="E787" s="72"/>
      <c r="F787" s="95"/>
      <c r="G787" s="378">
        <f t="shared" si="96"/>
        <v>0</v>
      </c>
      <c r="H787" s="38"/>
      <c r="I787" s="41"/>
      <c r="J787" s="41"/>
      <c r="K787" s="367"/>
      <c r="L787" s="520">
        <f t="shared" si="95"/>
      </c>
      <c r="M787" s="169"/>
      <c r="N787" s="199"/>
      <c r="O787" s="199"/>
    </row>
    <row r="788" spans="1:15" s="1" customFormat="1" ht="12.75">
      <c r="A788" s="224">
        <v>548350</v>
      </c>
      <c r="B788" s="9" t="s">
        <v>341</v>
      </c>
      <c r="C788" s="20"/>
      <c r="D788" s="72"/>
      <c r="E788" s="72"/>
      <c r="F788" s="95"/>
      <c r="G788" s="378">
        <f t="shared" si="96"/>
        <v>0</v>
      </c>
      <c r="H788" s="38"/>
      <c r="I788" s="41"/>
      <c r="J788" s="41"/>
      <c r="K788" s="367"/>
      <c r="L788" s="520">
        <f t="shared" si="95"/>
      </c>
      <c r="M788" s="169"/>
      <c r="N788" s="199"/>
      <c r="O788" s="199"/>
    </row>
    <row r="789" spans="1:15" s="1" customFormat="1" ht="12.75">
      <c r="A789" s="224">
        <v>548351</v>
      </c>
      <c r="B789" s="9" t="s">
        <v>780</v>
      </c>
      <c r="C789" s="20"/>
      <c r="D789" s="72"/>
      <c r="E789" s="72"/>
      <c r="F789" s="95"/>
      <c r="G789" s="378">
        <f t="shared" si="96"/>
        <v>0</v>
      </c>
      <c r="H789" s="38"/>
      <c r="I789" s="41"/>
      <c r="J789" s="41"/>
      <c r="K789" s="367"/>
      <c r="L789" s="520">
        <f t="shared" si="95"/>
      </c>
      <c r="M789" s="169"/>
      <c r="N789" s="199"/>
      <c r="O789" s="199"/>
    </row>
    <row r="790" spans="1:15" s="1" customFormat="1" ht="12.75">
      <c r="A790" s="224">
        <v>548380</v>
      </c>
      <c r="B790" s="9" t="s">
        <v>342</v>
      </c>
      <c r="C790" s="20"/>
      <c r="D790" s="72"/>
      <c r="E790" s="72"/>
      <c r="F790" s="95"/>
      <c r="G790" s="378">
        <f t="shared" si="96"/>
        <v>0</v>
      </c>
      <c r="H790" s="38"/>
      <c r="I790" s="41"/>
      <c r="J790" s="41"/>
      <c r="K790" s="367"/>
      <c r="L790" s="520">
        <f t="shared" si="95"/>
      </c>
      <c r="M790" s="169"/>
      <c r="N790" s="199"/>
      <c r="O790" s="199"/>
    </row>
    <row r="791" spans="1:15" s="1" customFormat="1" ht="12.75">
      <c r="A791" s="224">
        <v>548390</v>
      </c>
      <c r="B791" s="9" t="s">
        <v>343</v>
      </c>
      <c r="C791" s="20"/>
      <c r="D791" s="72"/>
      <c r="E791" s="72"/>
      <c r="F791" s="95"/>
      <c r="G791" s="378">
        <f t="shared" si="96"/>
        <v>0</v>
      </c>
      <c r="H791" s="38"/>
      <c r="I791" s="41"/>
      <c r="J791" s="41"/>
      <c r="K791" s="367"/>
      <c r="L791" s="520">
        <f t="shared" si="95"/>
      </c>
      <c r="M791" s="169"/>
      <c r="N791" s="199"/>
      <c r="O791" s="199"/>
    </row>
    <row r="792" spans="1:15" s="1" customFormat="1" ht="12.75">
      <c r="A792" s="224">
        <v>548391</v>
      </c>
      <c r="B792" s="9" t="s">
        <v>344</v>
      </c>
      <c r="C792" s="20"/>
      <c r="D792" s="72"/>
      <c r="E792" s="72"/>
      <c r="F792" s="95"/>
      <c r="G792" s="378">
        <f t="shared" si="96"/>
        <v>0</v>
      </c>
      <c r="H792" s="38"/>
      <c r="I792" s="41"/>
      <c r="J792" s="41"/>
      <c r="K792" s="367"/>
      <c r="L792" s="520">
        <f t="shared" si="95"/>
      </c>
      <c r="M792" s="169"/>
      <c r="N792" s="199"/>
      <c r="O792" s="199"/>
    </row>
    <row r="793" spans="1:15" s="1" customFormat="1" ht="12.75">
      <c r="A793" s="224">
        <v>548392</v>
      </c>
      <c r="B793" s="9" t="s">
        <v>345</v>
      </c>
      <c r="C793" s="20"/>
      <c r="D793" s="72"/>
      <c r="E793" s="72"/>
      <c r="F793" s="95"/>
      <c r="G793" s="378">
        <f t="shared" si="96"/>
        <v>0</v>
      </c>
      <c r="H793" s="33"/>
      <c r="I793" s="41"/>
      <c r="J793" s="41"/>
      <c r="K793" s="367"/>
      <c r="L793" s="520">
        <f t="shared" si="95"/>
      </c>
      <c r="M793" s="169"/>
      <c r="N793" s="199"/>
      <c r="O793" s="199"/>
    </row>
    <row r="794" spans="1:15" s="1" customFormat="1" ht="12.75">
      <c r="A794" s="224">
        <v>549027</v>
      </c>
      <c r="B794" s="9" t="s">
        <v>15</v>
      </c>
      <c r="C794" s="20"/>
      <c r="D794" s="72"/>
      <c r="E794" s="72"/>
      <c r="F794" s="95"/>
      <c r="G794" s="378">
        <f t="shared" si="96"/>
        <v>0</v>
      </c>
      <c r="H794" s="38"/>
      <c r="I794" s="41"/>
      <c r="J794" s="41"/>
      <c r="K794" s="367"/>
      <c r="L794" s="520">
        <f t="shared" si="95"/>
      </c>
      <c r="M794" s="169"/>
      <c r="N794" s="199"/>
      <c r="O794" s="199"/>
    </row>
    <row r="795" spans="1:15" s="1" customFormat="1" ht="12.75">
      <c r="A795" s="224">
        <v>549069</v>
      </c>
      <c r="B795" s="218" t="s">
        <v>564</v>
      </c>
      <c r="C795" s="219" t="s">
        <v>416</v>
      </c>
      <c r="D795" s="220"/>
      <c r="E795" s="220"/>
      <c r="F795" s="221"/>
      <c r="G795" s="379">
        <f t="shared" si="96"/>
        <v>0</v>
      </c>
      <c r="H795" s="38"/>
      <c r="I795" s="41"/>
      <c r="J795" s="41"/>
      <c r="K795" s="367"/>
      <c r="L795" s="520">
        <f t="shared" si="95"/>
      </c>
      <c r="M795" s="169"/>
      <c r="N795" s="199"/>
      <c r="O795" s="199"/>
    </row>
    <row r="796" spans="1:15" s="1" customFormat="1" ht="13.5" thickBot="1">
      <c r="A796" s="231" t="s">
        <v>401</v>
      </c>
      <c r="B796" s="6"/>
      <c r="C796" s="22"/>
      <c r="D796" s="44"/>
      <c r="E796" s="71"/>
      <c r="F796" s="90" t="s">
        <v>570</v>
      </c>
      <c r="G796" s="383">
        <f>SUM(G775:G795)</f>
        <v>0</v>
      </c>
      <c r="H796" s="38"/>
      <c r="I796" s="44"/>
      <c r="J796" s="44"/>
      <c r="K796" s="366"/>
      <c r="L796" s="383">
        <f>SUM(L775:L795)</f>
        <v>0</v>
      </c>
      <c r="M796" s="169"/>
      <c r="N796" s="199"/>
      <c r="O796" s="199"/>
    </row>
    <row r="797" spans="1:15" s="1" customFormat="1" ht="0.75" customHeight="1" thickTop="1">
      <c r="A797" s="226"/>
      <c r="C797" s="21"/>
      <c r="D797" s="48"/>
      <c r="E797" s="64"/>
      <c r="F797" s="48"/>
      <c r="G797" s="44"/>
      <c r="H797" s="33"/>
      <c r="I797" s="44"/>
      <c r="J797" s="44"/>
      <c r="K797" s="366"/>
      <c r="L797" s="516"/>
      <c r="M797" s="169"/>
      <c r="N797" s="199"/>
      <c r="O797" s="199"/>
    </row>
    <row r="798" spans="1:15" s="1" customFormat="1" ht="24.75" customHeight="1" thickTop="1">
      <c r="A798" s="228" t="s">
        <v>535</v>
      </c>
      <c r="B798" s="16"/>
      <c r="C798" s="21"/>
      <c r="D798" s="171" t="s">
        <v>422</v>
      </c>
      <c r="E798" s="172" t="s">
        <v>423</v>
      </c>
      <c r="F798" s="171" t="s">
        <v>424</v>
      </c>
      <c r="G798" s="171" t="s">
        <v>425</v>
      </c>
      <c r="H798" s="171" t="s">
        <v>426</v>
      </c>
      <c r="I798" s="173" t="s">
        <v>427</v>
      </c>
      <c r="J798" s="173"/>
      <c r="K798" s="366"/>
      <c r="L798" s="518" t="s">
        <v>688</v>
      </c>
      <c r="M798" s="169"/>
      <c r="N798" s="199"/>
      <c r="O798" s="199"/>
    </row>
    <row r="799" spans="1:15" s="1" customFormat="1" ht="12.75">
      <c r="A799" s="224">
        <v>553410</v>
      </c>
      <c r="B799" s="13" t="s">
        <v>346</v>
      </c>
      <c r="C799" s="20"/>
      <c r="D799" s="72"/>
      <c r="E799" s="72"/>
      <c r="F799" s="95"/>
      <c r="G799" s="377">
        <f>IF(X=0,(IF(Me=0,Sa,Me*Sa)),(IF(Me=0,Sa*X,Me*X*Sa)))</f>
        <v>0</v>
      </c>
      <c r="H799" s="375">
        <f>IF(Sum,Sos,0)</f>
        <v>0</v>
      </c>
      <c r="I799" s="376">
        <f>IF(Prosent&lt;&gt;0,(Sum*Prosent)/100,0)</f>
        <v>0</v>
      </c>
      <c r="J799" s="41"/>
      <c r="K799" s="367"/>
      <c r="L799" s="520">
        <f aca="true" t="shared" si="97" ref="L799:L824">IF(FMVA&lt;&gt;"",(Sum*mva)-Sum,"")</f>
      </c>
      <c r="M799" s="169"/>
      <c r="N799" s="199"/>
      <c r="O799" s="199"/>
    </row>
    <row r="800" spans="1:15" s="1" customFormat="1" ht="12.75">
      <c r="A800" s="224">
        <v>553411</v>
      </c>
      <c r="B800" s="12" t="s">
        <v>347</v>
      </c>
      <c r="C800" s="20"/>
      <c r="D800" s="55"/>
      <c r="E800" s="72"/>
      <c r="F800" s="381">
        <f>IF(D800=0,0,+G799)</f>
        <v>0</v>
      </c>
      <c r="G800" s="378">
        <f>IF(X=0,(IF(Me=0,Sa,Me*Sa)),(IF(Me=0,Sa*X,Me*X*Sa)))</f>
        <v>0</v>
      </c>
      <c r="H800" s="375">
        <f>IF(Sum,Sos,0)</f>
        <v>0</v>
      </c>
      <c r="I800" s="376">
        <f>IF(Prosent&lt;&gt;0,(Sum*Prosent)/100,0)</f>
        <v>0</v>
      </c>
      <c r="J800" s="41"/>
      <c r="K800" s="367"/>
      <c r="L800" s="520">
        <f t="shared" si="97"/>
      </c>
      <c r="M800" s="169"/>
      <c r="N800" s="199"/>
      <c r="O800" s="199"/>
    </row>
    <row r="801" spans="1:15" s="1" customFormat="1" ht="12.75">
      <c r="A801" s="224">
        <v>553420</v>
      </c>
      <c r="B801" s="9" t="s">
        <v>348</v>
      </c>
      <c r="C801" s="20"/>
      <c r="D801" s="72"/>
      <c r="E801" s="72"/>
      <c r="F801" s="95"/>
      <c r="G801" s="378">
        <f>IF(X=0,(IF(Me=0,Sa,Me*Sa)),(IF(Me=0,Sa*X,Me*X*Sa)))</f>
        <v>0</v>
      </c>
      <c r="H801" s="375">
        <f>IF(Sum,Sos,0)</f>
        <v>0</v>
      </c>
      <c r="I801" s="376">
        <f>IF(Prosent&lt;&gt;0,(Sum*Prosent)/100,0)</f>
        <v>0</v>
      </c>
      <c r="J801" s="41"/>
      <c r="K801" s="367"/>
      <c r="L801" s="520">
        <f t="shared" si="97"/>
      </c>
      <c r="M801" s="169"/>
      <c r="N801" s="199"/>
      <c r="O801" s="199"/>
    </row>
    <row r="802" spans="1:15" s="1" customFormat="1" ht="12.75">
      <c r="A802" s="224">
        <v>553421</v>
      </c>
      <c r="B802" s="12" t="s">
        <v>349</v>
      </c>
      <c r="C802" s="20"/>
      <c r="D802" s="55"/>
      <c r="E802" s="72"/>
      <c r="F802" s="381">
        <f>IF(D802=0,0,+G801)</f>
        <v>0</v>
      </c>
      <c r="G802" s="378">
        <f>IF(X=0,(IF(Me=0,Sa,Me*Sa)),(IF(Me=0,Sa*X,Me*X*Sa)))</f>
        <v>0</v>
      </c>
      <c r="H802" s="375">
        <f>IF(Sum,Sos,0)</f>
        <v>0</v>
      </c>
      <c r="I802" s="376">
        <f>IF(Prosent&lt;&gt;0,(Sum*Prosent)/100,0)</f>
        <v>0</v>
      </c>
      <c r="J802" s="41"/>
      <c r="K802" s="367"/>
      <c r="L802" s="520">
        <f t="shared" si="97"/>
      </c>
      <c r="M802" s="169"/>
      <c r="N802" s="199"/>
      <c r="O802" s="199"/>
    </row>
    <row r="803" spans="1:15" s="1" customFormat="1" ht="12.75">
      <c r="A803" s="224">
        <v>554092</v>
      </c>
      <c r="B803" s="9" t="s">
        <v>590</v>
      </c>
      <c r="C803" s="20"/>
      <c r="D803" s="72"/>
      <c r="E803" s="72"/>
      <c r="F803" s="95"/>
      <c r="G803" s="378">
        <f>IF(X=0,(IF(Me=0,Sa,Me*Sa)),(IF(Me=0,Sa*X,Me*X*Sa)))</f>
        <v>0</v>
      </c>
      <c r="H803" s="375">
        <f>IF(Sum,Sos,0)</f>
        <v>0</v>
      </c>
      <c r="I803" s="376">
        <f>IF(Prosent&lt;&gt;0,(Sum*Prosent)/100,0)</f>
        <v>0</v>
      </c>
      <c r="J803" s="41"/>
      <c r="K803" s="367"/>
      <c r="L803" s="520">
        <f t="shared" si="97"/>
      </c>
      <c r="M803" s="169"/>
      <c r="N803" s="199"/>
      <c r="O803" s="199"/>
    </row>
    <row r="804" spans="1:15" s="1" customFormat="1" ht="12.75">
      <c r="A804" s="224">
        <v>554095</v>
      </c>
      <c r="B804" s="9" t="s">
        <v>554</v>
      </c>
      <c r="C804" s="20"/>
      <c r="D804" s="73"/>
      <c r="E804" s="73"/>
      <c r="F804" s="94"/>
      <c r="G804" s="384">
        <f>SUM(I799:I803)</f>
        <v>0</v>
      </c>
      <c r="H804" s="38"/>
      <c r="I804" s="39" t="s">
        <v>555</v>
      </c>
      <c r="J804" s="39"/>
      <c r="K804" s="572"/>
      <c r="L804" s="520"/>
      <c r="M804" s="169"/>
      <c r="N804" s="199"/>
      <c r="O804" s="199"/>
    </row>
    <row r="805" spans="1:15" s="1" customFormat="1" ht="12.75">
      <c r="A805" s="224">
        <v>558401</v>
      </c>
      <c r="B805" s="9" t="s">
        <v>351</v>
      </c>
      <c r="C805" s="20"/>
      <c r="D805" s="72"/>
      <c r="E805" s="72"/>
      <c r="F805" s="95"/>
      <c r="G805" s="378">
        <f>IF(X=0,(IF(Me=0,Sa,Me*Sa)),(IF(Me=0,Sa*X,Me*X*Sa)))</f>
        <v>0</v>
      </c>
      <c r="H805" s="38"/>
      <c r="I805" s="41"/>
      <c r="J805" s="41"/>
      <c r="K805" s="367"/>
      <c r="L805" s="520">
        <f t="shared" si="97"/>
      </c>
      <c r="M805" s="169"/>
      <c r="N805" s="199"/>
      <c r="O805" s="199"/>
    </row>
    <row r="806" spans="1:15" s="1" customFormat="1" ht="12.75">
      <c r="A806" s="224">
        <v>558420</v>
      </c>
      <c r="B806" s="9" t="s">
        <v>350</v>
      </c>
      <c r="C806" s="20"/>
      <c r="D806" s="72"/>
      <c r="E806" s="72"/>
      <c r="F806" s="95"/>
      <c r="G806" s="378">
        <f aca="true" t="shared" si="98" ref="G806:G824">IF(X=0,(IF(Me=0,Sa,Me*Sa)),(IF(Me=0,Sa*X,Me*X*Sa)))</f>
        <v>0</v>
      </c>
      <c r="H806" s="38"/>
      <c r="I806" s="41"/>
      <c r="J806" s="41"/>
      <c r="K806" s="367"/>
      <c r="L806" s="520">
        <f t="shared" si="97"/>
      </c>
      <c r="M806" s="169"/>
      <c r="N806" s="199"/>
      <c r="O806" s="199"/>
    </row>
    <row r="807" spans="1:15" s="1" customFormat="1" ht="12.75">
      <c r="A807" s="224">
        <v>558421</v>
      </c>
      <c r="B807" s="9" t="s">
        <v>352</v>
      </c>
      <c r="C807" s="20"/>
      <c r="D807" s="72"/>
      <c r="E807" s="72"/>
      <c r="F807" s="95"/>
      <c r="G807" s="378">
        <f t="shared" si="98"/>
        <v>0</v>
      </c>
      <c r="H807" s="38"/>
      <c r="I807" s="41"/>
      <c r="J807" s="41"/>
      <c r="K807" s="367"/>
      <c r="L807" s="520">
        <f t="shared" si="97"/>
      </c>
      <c r="M807" s="169"/>
      <c r="N807" s="199"/>
      <c r="O807" s="199"/>
    </row>
    <row r="808" spans="1:15" s="1" customFormat="1" ht="12.75">
      <c r="A808" s="224">
        <v>558422</v>
      </c>
      <c r="B808" s="9" t="s">
        <v>353</v>
      </c>
      <c r="C808" s="20"/>
      <c r="D808" s="72"/>
      <c r="E808" s="72"/>
      <c r="F808" s="95"/>
      <c r="G808" s="378">
        <f t="shared" si="98"/>
        <v>0</v>
      </c>
      <c r="H808" s="38"/>
      <c r="I808" s="41"/>
      <c r="J808" s="41"/>
      <c r="K808" s="367"/>
      <c r="L808" s="520">
        <f t="shared" si="97"/>
      </c>
      <c r="M808" s="169"/>
      <c r="N808" s="199"/>
      <c r="O808" s="199"/>
    </row>
    <row r="809" spans="1:15" s="1" customFormat="1" ht="12.75">
      <c r="A809" s="224">
        <v>558430</v>
      </c>
      <c r="B809" s="9" t="s">
        <v>354</v>
      </c>
      <c r="C809" s="20"/>
      <c r="D809" s="72"/>
      <c r="E809" s="72"/>
      <c r="F809" s="95"/>
      <c r="G809" s="378">
        <f t="shared" si="98"/>
        <v>0</v>
      </c>
      <c r="H809" s="38"/>
      <c r="I809" s="41"/>
      <c r="J809" s="41"/>
      <c r="K809" s="367"/>
      <c r="L809" s="520">
        <f t="shared" si="97"/>
      </c>
      <c r="M809" s="169"/>
      <c r="N809" s="199"/>
      <c r="O809" s="199"/>
    </row>
    <row r="810" spans="1:15" s="1" customFormat="1" ht="12.75">
      <c r="A810" s="224">
        <v>558571</v>
      </c>
      <c r="B810" s="9" t="s">
        <v>355</v>
      </c>
      <c r="C810" s="20"/>
      <c r="D810" s="72"/>
      <c r="E810" s="72"/>
      <c r="F810" s="95"/>
      <c r="G810" s="378">
        <f t="shared" si="98"/>
        <v>0</v>
      </c>
      <c r="H810" s="38"/>
      <c r="I810" s="41"/>
      <c r="J810" s="41"/>
      <c r="K810" s="367"/>
      <c r="L810" s="520">
        <f t="shared" si="97"/>
      </c>
      <c r="M810" s="169"/>
      <c r="N810" s="199"/>
      <c r="O810" s="199"/>
    </row>
    <row r="811" spans="1:15" s="1" customFormat="1" ht="12.75">
      <c r="A811" s="224">
        <v>558580</v>
      </c>
      <c r="B811" s="9" t="s">
        <v>356</v>
      </c>
      <c r="C811" s="20"/>
      <c r="D811" s="72"/>
      <c r="E811" s="72"/>
      <c r="F811" s="95"/>
      <c r="G811" s="378">
        <f t="shared" si="98"/>
        <v>0</v>
      </c>
      <c r="H811" s="38"/>
      <c r="I811" s="41"/>
      <c r="J811" s="41"/>
      <c r="K811" s="367"/>
      <c r="L811" s="520">
        <f t="shared" si="97"/>
      </c>
      <c r="M811" s="169"/>
      <c r="N811" s="199"/>
      <c r="O811" s="199"/>
    </row>
    <row r="812" spans="1:15" s="1" customFormat="1" ht="12.75">
      <c r="A812" s="224">
        <v>559010</v>
      </c>
      <c r="B812" s="9" t="s">
        <v>556</v>
      </c>
      <c r="C812" s="20"/>
      <c r="D812" s="72"/>
      <c r="E812" s="72"/>
      <c r="F812" s="95"/>
      <c r="G812" s="378">
        <f t="shared" si="98"/>
        <v>0</v>
      </c>
      <c r="H812" s="38"/>
      <c r="I812" s="44"/>
      <c r="J812" s="44"/>
      <c r="K812" s="367"/>
      <c r="L812" s="520">
        <f t="shared" si="97"/>
      </c>
      <c r="M812" s="169"/>
      <c r="N812" s="199"/>
      <c r="O812" s="199"/>
    </row>
    <row r="813" spans="1:15" s="1" customFormat="1" ht="12.75">
      <c r="A813" s="224">
        <v>559011</v>
      </c>
      <c r="B813" s="9" t="s">
        <v>11</v>
      </c>
      <c r="C813" s="20"/>
      <c r="D813" s="72"/>
      <c r="E813" s="72"/>
      <c r="F813" s="95"/>
      <c r="G813" s="378">
        <f t="shared" si="98"/>
        <v>0</v>
      </c>
      <c r="H813" s="33"/>
      <c r="I813" s="44"/>
      <c r="J813" s="44"/>
      <c r="K813" s="367"/>
      <c r="L813" s="520">
        <f t="shared" si="97"/>
      </c>
      <c r="M813" s="169"/>
      <c r="N813" s="199"/>
      <c r="O813" s="199"/>
    </row>
    <row r="814" spans="1:15" s="1" customFormat="1" ht="12.75">
      <c r="A814" s="224">
        <v>559013</v>
      </c>
      <c r="B814" s="9" t="s">
        <v>557</v>
      </c>
      <c r="C814" s="20"/>
      <c r="D814" s="72"/>
      <c r="E814" s="72"/>
      <c r="F814" s="95"/>
      <c r="G814" s="378">
        <f t="shared" si="98"/>
        <v>0</v>
      </c>
      <c r="H814" s="38"/>
      <c r="I814" s="44"/>
      <c r="J814" s="44"/>
      <c r="K814" s="367"/>
      <c r="L814" s="520">
        <f t="shared" si="97"/>
      </c>
      <c r="M814" s="169"/>
      <c r="N814" s="199"/>
      <c r="O814" s="199"/>
    </row>
    <row r="815" spans="1:15" s="1" customFormat="1" ht="12.75">
      <c r="A815" s="224">
        <v>559020</v>
      </c>
      <c r="B815" s="9" t="s">
        <v>13</v>
      </c>
      <c r="C815" s="20"/>
      <c r="D815" s="72"/>
      <c r="E815" s="72"/>
      <c r="F815" s="95"/>
      <c r="G815" s="378">
        <f t="shared" si="98"/>
        <v>0</v>
      </c>
      <c r="H815" s="38"/>
      <c r="I815" s="44"/>
      <c r="J815" s="44"/>
      <c r="K815" s="367"/>
      <c r="L815" s="520">
        <f t="shared" si="97"/>
      </c>
      <c r="M815" s="169"/>
      <c r="N815" s="199"/>
      <c r="O815" s="199"/>
    </row>
    <row r="816" spans="1:15" s="1" customFormat="1" ht="12.75">
      <c r="A816" s="224">
        <v>559021</v>
      </c>
      <c r="B816" s="9" t="s">
        <v>14</v>
      </c>
      <c r="C816" s="20"/>
      <c r="D816" s="72"/>
      <c r="E816" s="72"/>
      <c r="F816" s="95"/>
      <c r="G816" s="378">
        <f t="shared" si="98"/>
        <v>0</v>
      </c>
      <c r="H816" s="38"/>
      <c r="I816" s="44"/>
      <c r="J816" s="44"/>
      <c r="K816" s="367"/>
      <c r="L816" s="520">
        <f t="shared" si="97"/>
      </c>
      <c r="M816" s="169"/>
      <c r="N816" s="199"/>
      <c r="O816" s="199"/>
    </row>
    <row r="817" spans="1:15" s="1" customFormat="1" ht="12.75">
      <c r="A817" s="224">
        <v>559022</v>
      </c>
      <c r="B817" s="9" t="s">
        <v>558</v>
      </c>
      <c r="C817" s="20"/>
      <c r="D817" s="72"/>
      <c r="E817" s="72"/>
      <c r="F817" s="95"/>
      <c r="G817" s="378">
        <f t="shared" si="98"/>
        <v>0</v>
      </c>
      <c r="H817" s="38"/>
      <c r="I817" s="44"/>
      <c r="J817" s="44"/>
      <c r="K817" s="367"/>
      <c r="L817" s="520">
        <f t="shared" si="97"/>
      </c>
      <c r="M817" s="169"/>
      <c r="N817" s="199"/>
      <c r="O817" s="199"/>
    </row>
    <row r="818" spans="1:15" s="1" customFormat="1" ht="12.75">
      <c r="A818" s="224">
        <v>559023</v>
      </c>
      <c r="B818" s="9" t="s">
        <v>559</v>
      </c>
      <c r="C818" s="20"/>
      <c r="D818" s="72"/>
      <c r="E818" s="72"/>
      <c r="F818" s="95"/>
      <c r="G818" s="378">
        <f t="shared" si="98"/>
        <v>0</v>
      </c>
      <c r="H818" s="33"/>
      <c r="I818" s="44"/>
      <c r="J818" s="44"/>
      <c r="K818" s="367"/>
      <c r="L818" s="520">
        <f t="shared" si="97"/>
      </c>
      <c r="M818" s="169"/>
      <c r="N818" s="199"/>
      <c r="O818" s="199"/>
    </row>
    <row r="819" spans="1:15" s="1" customFormat="1" ht="12.75">
      <c r="A819" s="224">
        <v>559024</v>
      </c>
      <c r="B819" s="9" t="s">
        <v>274</v>
      </c>
      <c r="C819" s="20"/>
      <c r="D819" s="72"/>
      <c r="E819" s="72"/>
      <c r="F819" s="95"/>
      <c r="G819" s="378">
        <f t="shared" si="98"/>
        <v>0</v>
      </c>
      <c r="H819" s="38"/>
      <c r="I819" s="44"/>
      <c r="J819" s="44"/>
      <c r="K819" s="367"/>
      <c r="L819" s="520">
        <f t="shared" si="97"/>
      </c>
      <c r="M819" s="169"/>
      <c r="N819" s="199"/>
      <c r="O819" s="199"/>
    </row>
    <row r="820" spans="1:15" s="1" customFormat="1" ht="12.75">
      <c r="A820" s="224">
        <v>559025</v>
      </c>
      <c r="B820" s="9" t="s">
        <v>560</v>
      </c>
      <c r="C820" s="20"/>
      <c r="D820" s="72"/>
      <c r="E820" s="72"/>
      <c r="F820" s="95"/>
      <c r="G820" s="378">
        <f t="shared" si="98"/>
        <v>0</v>
      </c>
      <c r="H820" s="33"/>
      <c r="I820" s="44"/>
      <c r="J820" s="44"/>
      <c r="K820" s="367"/>
      <c r="L820" s="520">
        <f t="shared" si="97"/>
      </c>
      <c r="M820" s="169"/>
      <c r="N820" s="199"/>
      <c r="O820" s="199"/>
    </row>
    <row r="821" spans="1:15" s="1" customFormat="1" ht="12.75">
      <c r="A821" s="224">
        <v>559026</v>
      </c>
      <c r="B821" s="9" t="s">
        <v>275</v>
      </c>
      <c r="C821" s="20"/>
      <c r="D821" s="72"/>
      <c r="E821" s="72"/>
      <c r="F821" s="95"/>
      <c r="G821" s="378">
        <f t="shared" si="98"/>
        <v>0</v>
      </c>
      <c r="H821" s="38"/>
      <c r="I821" s="44"/>
      <c r="J821" s="44"/>
      <c r="K821" s="367"/>
      <c r="L821" s="520">
        <f t="shared" si="97"/>
      </c>
      <c r="M821" s="169"/>
      <c r="N821" s="199"/>
      <c r="O821" s="199"/>
    </row>
    <row r="822" spans="1:15" s="1" customFormat="1" ht="12.75">
      <c r="A822" s="224">
        <v>559027</v>
      </c>
      <c r="B822" s="9" t="s">
        <v>15</v>
      </c>
      <c r="C822" s="20"/>
      <c r="D822" s="72"/>
      <c r="E822" s="72"/>
      <c r="F822" s="95"/>
      <c r="G822" s="378">
        <f t="shared" si="98"/>
        <v>0</v>
      </c>
      <c r="H822" s="38"/>
      <c r="I822" s="44"/>
      <c r="J822" s="44"/>
      <c r="K822" s="367"/>
      <c r="L822" s="520">
        <f t="shared" si="97"/>
      </c>
      <c r="M822" s="169"/>
      <c r="N822" s="199"/>
      <c r="O822" s="199"/>
    </row>
    <row r="823" spans="1:15" s="1" customFormat="1" ht="12.75">
      <c r="A823" s="224">
        <v>559029</v>
      </c>
      <c r="B823" s="9" t="s">
        <v>561</v>
      </c>
      <c r="C823" s="20"/>
      <c r="D823" s="72"/>
      <c r="E823" s="72"/>
      <c r="F823" s="95"/>
      <c r="G823" s="378">
        <f t="shared" si="98"/>
        <v>0</v>
      </c>
      <c r="H823" s="38"/>
      <c r="I823" s="44"/>
      <c r="J823" s="44"/>
      <c r="K823" s="367"/>
      <c r="L823" s="520">
        <f t="shared" si="97"/>
      </c>
      <c r="M823" s="169"/>
      <c r="N823" s="199"/>
      <c r="O823" s="199"/>
    </row>
    <row r="824" spans="1:15" s="1" customFormat="1" ht="12.75">
      <c r="A824" s="224">
        <v>559069</v>
      </c>
      <c r="B824" s="218" t="s">
        <v>564</v>
      </c>
      <c r="C824" s="219" t="s">
        <v>416</v>
      </c>
      <c r="D824" s="220"/>
      <c r="E824" s="220"/>
      <c r="F824" s="221"/>
      <c r="G824" s="379">
        <f t="shared" si="98"/>
        <v>0</v>
      </c>
      <c r="H824" s="38"/>
      <c r="I824" s="41"/>
      <c r="J824" s="41"/>
      <c r="K824" s="367"/>
      <c r="L824" s="520">
        <f t="shared" si="97"/>
      </c>
      <c r="M824" s="169"/>
      <c r="N824" s="199"/>
      <c r="O824" s="199"/>
    </row>
    <row r="825" spans="1:15" s="1" customFormat="1" ht="13.5" thickBot="1">
      <c r="A825" s="231" t="s">
        <v>401</v>
      </c>
      <c r="B825" s="6"/>
      <c r="C825" s="22"/>
      <c r="D825" s="44"/>
      <c r="E825" s="71"/>
      <c r="F825" s="90" t="s">
        <v>570</v>
      </c>
      <c r="G825" s="383">
        <f>SUM(G799:G824)</f>
        <v>0</v>
      </c>
      <c r="H825" s="38"/>
      <c r="I825" s="44"/>
      <c r="J825" s="44"/>
      <c r="K825" s="366"/>
      <c r="L825" s="383">
        <f>SUM(L799:L824)</f>
        <v>0</v>
      </c>
      <c r="M825" s="169"/>
      <c r="N825" s="199"/>
      <c r="O825" s="199"/>
    </row>
    <row r="826" spans="1:15" s="1" customFormat="1" ht="0.75" customHeight="1" thickTop="1">
      <c r="A826" s="226"/>
      <c r="C826" s="21"/>
      <c r="D826" s="48"/>
      <c r="E826" s="64"/>
      <c r="F826" s="48"/>
      <c r="G826" s="44"/>
      <c r="H826" s="38"/>
      <c r="I826" s="44"/>
      <c r="J826" s="44"/>
      <c r="K826" s="366"/>
      <c r="L826" s="516"/>
      <c r="M826" s="169"/>
      <c r="N826" s="199"/>
      <c r="O826" s="199"/>
    </row>
    <row r="827" spans="1:15" s="1" customFormat="1" ht="24.75" customHeight="1" thickTop="1">
      <c r="A827" s="228" t="s">
        <v>822</v>
      </c>
      <c r="B827" s="16"/>
      <c r="C827" s="21"/>
      <c r="D827" s="171" t="s">
        <v>422</v>
      </c>
      <c r="E827" s="172" t="s">
        <v>423</v>
      </c>
      <c r="F827" s="171" t="s">
        <v>424</v>
      </c>
      <c r="G827" s="171" t="s">
        <v>425</v>
      </c>
      <c r="H827" s="34"/>
      <c r="I827" s="35"/>
      <c r="J827" s="35"/>
      <c r="K827" s="366"/>
      <c r="L827" s="518" t="s">
        <v>688</v>
      </c>
      <c r="M827" s="169"/>
      <c r="N827" s="199"/>
      <c r="O827" s="199"/>
    </row>
    <row r="828" spans="1:15" s="1" customFormat="1" ht="12.75">
      <c r="A828" s="595">
        <v>568501</v>
      </c>
      <c r="B828" s="596" t="s">
        <v>357</v>
      </c>
      <c r="C828" s="20"/>
      <c r="D828" s="72"/>
      <c r="E828" s="72"/>
      <c r="F828" s="95"/>
      <c r="G828" s="377">
        <f aca="true" t="shared" si="99" ref="G828:G866">IF(X=0,(IF(Me=0,Sa,Me*Sa)),(IF(Me=0,Sa*X,Me*X*Sa)))</f>
        <v>0</v>
      </c>
      <c r="H828" s="38"/>
      <c r="I828" s="44"/>
      <c r="J828" s="44"/>
      <c r="K828" s="367"/>
      <c r="L828" s="520">
        <f aca="true" t="shared" si="100" ref="L828:L870">IF(FMVA&lt;&gt;"",(Sum*mva)-Sum,"")</f>
      </c>
      <c r="M828" s="169"/>
      <c r="N828" s="199"/>
      <c r="O828" s="199"/>
    </row>
    <row r="829" spans="1:15" s="1" customFormat="1" ht="12.75">
      <c r="A829" s="595">
        <v>568510</v>
      </c>
      <c r="B829" s="596" t="s">
        <v>272</v>
      </c>
      <c r="C829" s="20"/>
      <c r="D829" s="72"/>
      <c r="E829" s="72"/>
      <c r="F829" s="95"/>
      <c r="G829" s="378">
        <f>IF(X=0,(IF(Me=0,Sa,Me*Sa)),(IF(Me=0,Sa*X,Me*X*Sa)))</f>
        <v>0</v>
      </c>
      <c r="H829" s="38"/>
      <c r="I829" s="41"/>
      <c r="J829" s="41"/>
      <c r="K829" s="367"/>
      <c r="L829" s="520">
        <f t="shared" si="100"/>
      </c>
      <c r="M829" s="169"/>
      <c r="N829" s="199"/>
      <c r="O829" s="199"/>
    </row>
    <row r="830" spans="1:15" s="1" customFormat="1" ht="12.75">
      <c r="A830" s="595">
        <v>568511</v>
      </c>
      <c r="B830" s="596" t="s">
        <v>181</v>
      </c>
      <c r="C830" s="20"/>
      <c r="D830" s="72"/>
      <c r="E830" s="72"/>
      <c r="F830" s="210"/>
      <c r="G830" s="378">
        <f>IF(X=0,(IF(Me=0,Sa,Me*Sa)),(IF(Me=0,Sa*X,Me*X*Sa)))</f>
        <v>0</v>
      </c>
      <c r="H830" s="38"/>
      <c r="I830" s="41"/>
      <c r="J830" s="41"/>
      <c r="K830" s="367"/>
      <c r="L830" s="520">
        <f t="shared" si="100"/>
      </c>
      <c r="M830" s="169"/>
      <c r="N830" s="199"/>
      <c r="O830" s="199"/>
    </row>
    <row r="831" spans="1:15" s="1" customFormat="1" ht="12.75">
      <c r="A831" s="595">
        <v>568514</v>
      </c>
      <c r="B831" s="596" t="s">
        <v>792</v>
      </c>
      <c r="C831" s="20"/>
      <c r="D831" s="72"/>
      <c r="E831" s="72"/>
      <c r="F831" s="95"/>
      <c r="G831" s="378">
        <f>IF(X=0,(IF(Me=0,Sa,Me*Sa)),(IF(Me=0,Sa*X,Me*X*Sa)))</f>
        <v>0</v>
      </c>
      <c r="H831" s="38"/>
      <c r="I831" s="41"/>
      <c r="J831" s="41"/>
      <c r="K831" s="367"/>
      <c r="L831" s="520">
        <f t="shared" si="100"/>
      </c>
      <c r="M831" s="169"/>
      <c r="N831" s="199"/>
      <c r="O831" s="199"/>
    </row>
    <row r="832" spans="1:15" s="1" customFormat="1" ht="12.75">
      <c r="A832" s="595">
        <v>568515</v>
      </c>
      <c r="B832" s="596" t="s">
        <v>784</v>
      </c>
      <c r="C832" s="20"/>
      <c r="D832" s="72"/>
      <c r="E832" s="72"/>
      <c r="F832" s="95"/>
      <c r="G832" s="378">
        <f t="shared" si="99"/>
        <v>0</v>
      </c>
      <c r="H832" s="38"/>
      <c r="I832" s="44"/>
      <c r="J832" s="44"/>
      <c r="K832" s="367"/>
      <c r="L832" s="520">
        <f t="shared" si="100"/>
      </c>
      <c r="M832" s="169"/>
      <c r="N832" s="199"/>
      <c r="O832" s="199"/>
    </row>
    <row r="833" spans="1:15" s="1" customFormat="1" ht="12.75">
      <c r="A833" s="595">
        <v>568516</v>
      </c>
      <c r="B833" s="596" t="s">
        <v>793</v>
      </c>
      <c r="C833" s="20"/>
      <c r="D833" s="72"/>
      <c r="E833" s="72"/>
      <c r="F833" s="210"/>
      <c r="G833" s="378">
        <f t="shared" si="99"/>
        <v>0</v>
      </c>
      <c r="H833" s="38"/>
      <c r="I833" s="44"/>
      <c r="J833" s="44"/>
      <c r="K833" s="367"/>
      <c r="L833" s="520">
        <f t="shared" si="100"/>
      </c>
      <c r="M833" s="169"/>
      <c r="N833" s="199"/>
      <c r="O833" s="199"/>
    </row>
    <row r="834" spans="1:15" s="1" customFormat="1" ht="12.75">
      <c r="A834" s="595">
        <v>568520</v>
      </c>
      <c r="B834" s="596" t="s">
        <v>794</v>
      </c>
      <c r="C834" s="20"/>
      <c r="D834" s="72"/>
      <c r="E834" s="72"/>
      <c r="F834" s="95"/>
      <c r="G834" s="378">
        <f t="shared" si="99"/>
        <v>0</v>
      </c>
      <c r="H834" s="38"/>
      <c r="I834" s="44"/>
      <c r="J834" s="44"/>
      <c r="K834" s="367"/>
      <c r="L834" s="520">
        <f t="shared" si="100"/>
      </c>
      <c r="M834" s="169"/>
      <c r="N834" s="199"/>
      <c r="O834" s="199"/>
    </row>
    <row r="835" spans="1:15" s="1" customFormat="1" ht="12.75">
      <c r="A835" s="595">
        <v>568521</v>
      </c>
      <c r="B835" s="596" t="s">
        <v>795</v>
      </c>
      <c r="C835" s="20"/>
      <c r="D835" s="72"/>
      <c r="E835" s="72"/>
      <c r="F835" s="95"/>
      <c r="G835" s="378">
        <f t="shared" si="99"/>
        <v>0</v>
      </c>
      <c r="H835" s="38"/>
      <c r="I835" s="44"/>
      <c r="J835" s="44"/>
      <c r="K835" s="367"/>
      <c r="L835" s="520">
        <f t="shared" si="100"/>
      </c>
      <c r="M835" s="169"/>
      <c r="N835" s="199"/>
      <c r="O835" s="199"/>
    </row>
    <row r="836" spans="1:15" s="1" customFormat="1" ht="12.75">
      <c r="A836" s="595">
        <v>568522</v>
      </c>
      <c r="B836" s="596" t="s">
        <v>796</v>
      </c>
      <c r="C836" s="20"/>
      <c r="D836" s="72"/>
      <c r="E836" s="72"/>
      <c r="F836" s="95"/>
      <c r="G836" s="378">
        <f t="shared" si="99"/>
        <v>0</v>
      </c>
      <c r="H836" s="38"/>
      <c r="I836" s="44"/>
      <c r="J836" s="44"/>
      <c r="K836" s="367"/>
      <c r="L836" s="520">
        <f t="shared" si="100"/>
      </c>
      <c r="M836" s="169"/>
      <c r="N836" s="199"/>
      <c r="O836" s="199"/>
    </row>
    <row r="837" spans="1:15" s="1" customFormat="1" ht="12.75">
      <c r="A837" s="595">
        <v>568530</v>
      </c>
      <c r="B837" s="596" t="s">
        <v>797</v>
      </c>
      <c r="C837" s="20"/>
      <c r="D837" s="72"/>
      <c r="E837" s="72"/>
      <c r="F837" s="95"/>
      <c r="G837" s="378">
        <f t="shared" si="99"/>
        <v>0</v>
      </c>
      <c r="H837" s="38"/>
      <c r="I837" s="44"/>
      <c r="J837" s="44"/>
      <c r="K837" s="367"/>
      <c r="L837" s="520">
        <f t="shared" si="100"/>
      </c>
      <c r="M837" s="169"/>
      <c r="N837" s="199"/>
      <c r="O837" s="199"/>
    </row>
    <row r="838" spans="1:15" s="1" customFormat="1" ht="12.75">
      <c r="A838" s="595">
        <v>568532</v>
      </c>
      <c r="B838" s="596" t="s">
        <v>798</v>
      </c>
      <c r="C838" s="20"/>
      <c r="D838" s="72"/>
      <c r="E838" s="72"/>
      <c r="F838" s="95"/>
      <c r="G838" s="378">
        <f t="shared" si="99"/>
        <v>0</v>
      </c>
      <c r="H838" s="38"/>
      <c r="I838" s="44"/>
      <c r="J838" s="44"/>
      <c r="K838" s="367"/>
      <c r="L838" s="520">
        <f t="shared" si="100"/>
      </c>
      <c r="M838" s="169"/>
      <c r="N838" s="199"/>
      <c r="O838" s="199"/>
    </row>
    <row r="839" spans="1:15" s="1" customFormat="1" ht="12.75">
      <c r="A839" s="595">
        <v>568533</v>
      </c>
      <c r="B839" s="596" t="s">
        <v>799</v>
      </c>
      <c r="C839" s="20"/>
      <c r="D839" s="72"/>
      <c r="E839" s="72"/>
      <c r="F839" s="95"/>
      <c r="G839" s="378">
        <f t="shared" si="99"/>
        <v>0</v>
      </c>
      <c r="H839" s="38"/>
      <c r="I839" s="44"/>
      <c r="J839" s="44"/>
      <c r="K839" s="367"/>
      <c r="L839" s="520">
        <f t="shared" si="100"/>
      </c>
      <c r="M839" s="169"/>
      <c r="N839" s="199"/>
      <c r="O839" s="199"/>
    </row>
    <row r="840" spans="1:15" s="1" customFormat="1" ht="12.75">
      <c r="A840" s="595">
        <v>568536</v>
      </c>
      <c r="B840" s="596" t="s">
        <v>800</v>
      </c>
      <c r="C840" s="20"/>
      <c r="D840" s="72"/>
      <c r="E840" s="72"/>
      <c r="F840" s="95"/>
      <c r="G840" s="378">
        <f t="shared" si="99"/>
        <v>0</v>
      </c>
      <c r="H840" s="38"/>
      <c r="I840" s="44"/>
      <c r="J840" s="44"/>
      <c r="K840" s="367"/>
      <c r="L840" s="520">
        <f t="shared" si="100"/>
      </c>
      <c r="M840" s="169"/>
      <c r="N840" s="199"/>
      <c r="O840" s="199"/>
    </row>
    <row r="841" spans="1:15" s="1" customFormat="1" ht="12.75">
      <c r="A841" s="595">
        <v>568537</v>
      </c>
      <c r="B841" s="596" t="s">
        <v>801</v>
      </c>
      <c r="C841" s="20"/>
      <c r="D841" s="72"/>
      <c r="E841" s="72"/>
      <c r="F841" s="95"/>
      <c r="G841" s="378">
        <f t="shared" si="99"/>
        <v>0</v>
      </c>
      <c r="H841" s="38"/>
      <c r="I841" s="44"/>
      <c r="J841" s="44"/>
      <c r="K841" s="367"/>
      <c r="L841" s="520">
        <f t="shared" si="100"/>
      </c>
      <c r="M841" s="169"/>
      <c r="N841" s="199"/>
      <c r="O841" s="199"/>
    </row>
    <row r="842" spans="1:15" s="1" customFormat="1" ht="12.75">
      <c r="A842" s="595">
        <v>568539</v>
      </c>
      <c r="B842" s="596" t="s">
        <v>802</v>
      </c>
      <c r="C842" s="20"/>
      <c r="D842" s="72"/>
      <c r="E842" s="72"/>
      <c r="F842" s="95"/>
      <c r="G842" s="378">
        <f t="shared" si="99"/>
        <v>0</v>
      </c>
      <c r="H842" s="38"/>
      <c r="I842" s="44"/>
      <c r="J842" s="44"/>
      <c r="K842" s="367"/>
      <c r="L842" s="520">
        <f t="shared" si="100"/>
      </c>
      <c r="M842" s="169"/>
      <c r="N842" s="199"/>
      <c r="O842" s="199"/>
    </row>
    <row r="843" spans="1:15" s="1" customFormat="1" ht="12.75">
      <c r="A843" s="595">
        <v>568542</v>
      </c>
      <c r="B843" s="596" t="s">
        <v>803</v>
      </c>
      <c r="C843" s="20"/>
      <c r="D843" s="72"/>
      <c r="E843" s="72"/>
      <c r="F843" s="95"/>
      <c r="G843" s="378">
        <f t="shared" si="99"/>
        <v>0</v>
      </c>
      <c r="H843" s="38"/>
      <c r="I843" s="44"/>
      <c r="J843" s="44"/>
      <c r="K843" s="367"/>
      <c r="L843" s="520">
        <f t="shared" si="100"/>
      </c>
      <c r="M843" s="169"/>
      <c r="N843" s="199"/>
      <c r="O843" s="199"/>
    </row>
    <row r="844" spans="1:15" s="1" customFormat="1" ht="12.75">
      <c r="A844" s="595">
        <v>568544</v>
      </c>
      <c r="B844" s="596" t="s">
        <v>804</v>
      </c>
      <c r="C844" s="20"/>
      <c r="D844" s="72"/>
      <c r="E844" s="72"/>
      <c r="F844" s="95"/>
      <c r="G844" s="378">
        <f t="shared" si="99"/>
        <v>0</v>
      </c>
      <c r="H844" s="38"/>
      <c r="I844" s="44"/>
      <c r="J844" s="44"/>
      <c r="K844" s="367"/>
      <c r="L844" s="520">
        <f t="shared" si="100"/>
      </c>
      <c r="M844" s="169"/>
      <c r="N844" s="199"/>
      <c r="O844" s="199"/>
    </row>
    <row r="845" spans="1:15" s="1" customFormat="1" ht="12.75">
      <c r="A845" s="595">
        <v>568551</v>
      </c>
      <c r="B845" s="596" t="s">
        <v>358</v>
      </c>
      <c r="C845" s="20"/>
      <c r="D845" s="72"/>
      <c r="E845" s="72"/>
      <c r="F845" s="95"/>
      <c r="G845" s="378">
        <f t="shared" si="99"/>
        <v>0</v>
      </c>
      <c r="H845" s="38"/>
      <c r="I845" s="44"/>
      <c r="J845" s="44"/>
      <c r="K845" s="367"/>
      <c r="L845" s="520">
        <f t="shared" si="100"/>
      </c>
      <c r="M845" s="169"/>
      <c r="N845" s="199"/>
      <c r="O845" s="199"/>
    </row>
    <row r="846" spans="1:15" s="1" customFormat="1" ht="12.75">
      <c r="A846" s="595">
        <v>568553</v>
      </c>
      <c r="B846" s="597" t="s">
        <v>805</v>
      </c>
      <c r="C846" s="20"/>
      <c r="D846" s="72"/>
      <c r="E846" s="72"/>
      <c r="F846" s="95"/>
      <c r="G846" s="378">
        <f t="shared" si="99"/>
        <v>0</v>
      </c>
      <c r="H846" s="38"/>
      <c r="I846" s="44"/>
      <c r="J846" s="44"/>
      <c r="K846" s="367"/>
      <c r="L846" s="520">
        <f t="shared" si="100"/>
      </c>
      <c r="M846" s="169"/>
      <c r="N846" s="199"/>
      <c r="O846" s="199"/>
    </row>
    <row r="847" spans="1:15" s="1" customFormat="1" ht="12.75">
      <c r="A847" s="595">
        <v>568554</v>
      </c>
      <c r="B847" s="596" t="s">
        <v>806</v>
      </c>
      <c r="C847" s="20"/>
      <c r="D847" s="72"/>
      <c r="E847" s="72"/>
      <c r="F847" s="95"/>
      <c r="G847" s="378">
        <f t="shared" si="99"/>
        <v>0</v>
      </c>
      <c r="H847" s="38"/>
      <c r="I847" s="44"/>
      <c r="J847" s="44"/>
      <c r="K847" s="367"/>
      <c r="L847" s="520">
        <f t="shared" si="100"/>
      </c>
      <c r="M847" s="169"/>
      <c r="N847" s="199"/>
      <c r="O847" s="199"/>
    </row>
    <row r="848" spans="1:15" s="1" customFormat="1" ht="12.75">
      <c r="A848" s="595">
        <v>568557</v>
      </c>
      <c r="B848" s="596" t="s">
        <v>807</v>
      </c>
      <c r="C848" s="20"/>
      <c r="D848" s="72"/>
      <c r="E848" s="72"/>
      <c r="F848" s="95"/>
      <c r="G848" s="378">
        <f t="shared" si="99"/>
        <v>0</v>
      </c>
      <c r="H848" s="38"/>
      <c r="I848" s="41"/>
      <c r="J848" s="41"/>
      <c r="K848" s="367"/>
      <c r="L848" s="520">
        <f t="shared" si="100"/>
      </c>
      <c r="M848" s="169"/>
      <c r="N848" s="199"/>
      <c r="O848" s="199"/>
    </row>
    <row r="849" spans="1:15" s="1" customFormat="1" ht="12.75">
      <c r="A849" s="595">
        <v>568560</v>
      </c>
      <c r="B849" s="596" t="s">
        <v>808</v>
      </c>
      <c r="C849" s="20"/>
      <c r="D849" s="72"/>
      <c r="E849" s="72"/>
      <c r="F849" s="95"/>
      <c r="G849" s="378">
        <f t="shared" si="99"/>
        <v>0</v>
      </c>
      <c r="H849" s="38"/>
      <c r="I849" s="44"/>
      <c r="J849" s="44"/>
      <c r="K849" s="367"/>
      <c r="L849" s="520">
        <f t="shared" si="100"/>
      </c>
      <c r="M849" s="169"/>
      <c r="N849" s="199"/>
      <c r="O849" s="199"/>
    </row>
    <row r="850" spans="1:15" s="1" customFormat="1" ht="12.75">
      <c r="A850" s="595">
        <v>568561</v>
      </c>
      <c r="B850" s="596" t="s">
        <v>809</v>
      </c>
      <c r="C850" s="20"/>
      <c r="D850" s="72"/>
      <c r="E850" s="72"/>
      <c r="F850" s="95"/>
      <c r="G850" s="378">
        <f t="shared" si="99"/>
        <v>0</v>
      </c>
      <c r="H850" s="38"/>
      <c r="I850" s="44"/>
      <c r="J850" s="44"/>
      <c r="K850" s="367"/>
      <c r="L850" s="520">
        <f t="shared" si="100"/>
      </c>
      <c r="M850" s="169"/>
      <c r="N850" s="199"/>
      <c r="O850" s="199"/>
    </row>
    <row r="851" spans="1:15" s="1" customFormat="1" ht="12.75">
      <c r="A851" s="595">
        <v>568562</v>
      </c>
      <c r="B851" s="597" t="s">
        <v>785</v>
      </c>
      <c r="C851" s="20"/>
      <c r="D851" s="72"/>
      <c r="E851" s="72"/>
      <c r="F851" s="95"/>
      <c r="G851" s="378">
        <f t="shared" si="99"/>
        <v>0</v>
      </c>
      <c r="H851" s="38"/>
      <c r="I851" s="44"/>
      <c r="J851" s="44"/>
      <c r="K851" s="367"/>
      <c r="L851" s="520">
        <f t="shared" si="100"/>
      </c>
      <c r="M851" s="169"/>
      <c r="N851" s="199"/>
      <c r="O851" s="199"/>
    </row>
    <row r="852" spans="1:15" s="1" customFormat="1" ht="12.75">
      <c r="A852" s="595">
        <v>568563</v>
      </c>
      <c r="B852" s="596" t="s">
        <v>786</v>
      </c>
      <c r="C852" s="20"/>
      <c r="D852" s="72"/>
      <c r="E852" s="72"/>
      <c r="F852" s="95"/>
      <c r="G852" s="378">
        <f t="shared" si="99"/>
        <v>0</v>
      </c>
      <c r="H852" s="38"/>
      <c r="I852" s="44"/>
      <c r="J852" s="44"/>
      <c r="K852" s="367"/>
      <c r="L852" s="520">
        <f t="shared" si="100"/>
      </c>
      <c r="M852" s="169"/>
      <c r="N852" s="199"/>
      <c r="O852" s="199"/>
    </row>
    <row r="853" spans="1:15" s="1" customFormat="1" ht="12.75">
      <c r="A853" s="595">
        <v>568564</v>
      </c>
      <c r="B853" s="596" t="s">
        <v>787</v>
      </c>
      <c r="C853" s="20"/>
      <c r="D853" s="72"/>
      <c r="E853" s="72"/>
      <c r="F853" s="95"/>
      <c r="G853" s="378">
        <f t="shared" si="99"/>
        <v>0</v>
      </c>
      <c r="H853" s="38"/>
      <c r="I853" s="44"/>
      <c r="J853" s="44"/>
      <c r="K853" s="367"/>
      <c r="L853" s="520">
        <f t="shared" si="100"/>
      </c>
      <c r="M853" s="169"/>
      <c r="N853" s="199"/>
      <c r="O853" s="199"/>
    </row>
    <row r="854" spans="1:15" s="1" customFormat="1" ht="12.75">
      <c r="A854" s="595">
        <v>568566</v>
      </c>
      <c r="B854" s="596" t="s">
        <v>810</v>
      </c>
      <c r="C854" s="20"/>
      <c r="D854" s="72"/>
      <c r="E854" s="72"/>
      <c r="F854" s="95"/>
      <c r="G854" s="378">
        <f t="shared" si="99"/>
        <v>0</v>
      </c>
      <c r="H854" s="38"/>
      <c r="I854" s="44"/>
      <c r="J854" s="44"/>
      <c r="K854" s="367"/>
      <c r="L854" s="520">
        <f t="shared" si="100"/>
      </c>
      <c r="M854" s="169"/>
      <c r="N854" s="199"/>
      <c r="O854" s="199"/>
    </row>
    <row r="855" spans="1:15" s="1" customFormat="1" ht="12.75">
      <c r="A855" s="595">
        <v>568568</v>
      </c>
      <c r="B855" s="596" t="s">
        <v>788</v>
      </c>
      <c r="C855" s="20"/>
      <c r="D855" s="72"/>
      <c r="E855" s="72"/>
      <c r="F855" s="95"/>
      <c r="G855" s="378">
        <f t="shared" si="99"/>
        <v>0</v>
      </c>
      <c r="H855" s="38"/>
      <c r="I855" s="44"/>
      <c r="J855" s="44"/>
      <c r="K855" s="367"/>
      <c r="L855" s="520">
        <f t="shared" si="100"/>
      </c>
      <c r="M855" s="169"/>
      <c r="N855" s="199"/>
      <c r="O855" s="199"/>
    </row>
    <row r="856" spans="1:15" s="1" customFormat="1" ht="12.75">
      <c r="A856" s="595">
        <v>568569</v>
      </c>
      <c r="B856" s="597" t="s">
        <v>811</v>
      </c>
      <c r="C856" s="20"/>
      <c r="D856" s="72"/>
      <c r="E856" s="72"/>
      <c r="F856" s="95"/>
      <c r="G856" s="378">
        <f t="shared" si="99"/>
        <v>0</v>
      </c>
      <c r="H856" s="38"/>
      <c r="I856" s="44"/>
      <c r="J856" s="44"/>
      <c r="K856" s="367"/>
      <c r="L856" s="520">
        <f t="shared" si="100"/>
      </c>
      <c r="M856" s="169"/>
      <c r="N856" s="199"/>
      <c r="O856" s="199"/>
    </row>
    <row r="857" spans="1:15" s="1" customFormat="1" ht="12.75">
      <c r="A857" s="595">
        <v>568570</v>
      </c>
      <c r="B857" s="596" t="s">
        <v>356</v>
      </c>
      <c r="C857" s="20"/>
      <c r="D857" s="72"/>
      <c r="E857" s="72"/>
      <c r="F857" s="95"/>
      <c r="G857" s="378">
        <f t="shared" si="99"/>
        <v>0</v>
      </c>
      <c r="H857" s="38"/>
      <c r="I857" s="44"/>
      <c r="J857" s="44"/>
      <c r="K857" s="367"/>
      <c r="L857" s="520">
        <f t="shared" si="100"/>
      </c>
      <c r="M857" s="169"/>
      <c r="N857" s="199"/>
      <c r="O857" s="199"/>
    </row>
    <row r="858" spans="1:15" s="1" customFormat="1" ht="12.75">
      <c r="A858" s="595">
        <v>568571</v>
      </c>
      <c r="B858" s="596" t="s">
        <v>273</v>
      </c>
      <c r="C858" s="20"/>
      <c r="D858" s="72"/>
      <c r="E858" s="72"/>
      <c r="F858" s="95"/>
      <c r="G858" s="378">
        <f t="shared" si="99"/>
        <v>0</v>
      </c>
      <c r="H858" s="38"/>
      <c r="I858" s="44"/>
      <c r="J858" s="44"/>
      <c r="K858" s="367"/>
      <c r="L858" s="520">
        <f t="shared" si="100"/>
      </c>
      <c r="M858" s="169"/>
      <c r="N858" s="199"/>
      <c r="O858" s="199"/>
    </row>
    <row r="859" spans="1:15" s="1" customFormat="1" ht="12.75">
      <c r="A859" s="595">
        <v>568573</v>
      </c>
      <c r="B859" s="596" t="s">
        <v>812</v>
      </c>
      <c r="C859" s="20"/>
      <c r="D859" s="72"/>
      <c r="E859" s="72"/>
      <c r="F859" s="95"/>
      <c r="G859" s="378">
        <f t="shared" si="99"/>
        <v>0</v>
      </c>
      <c r="H859" s="38"/>
      <c r="I859" s="44"/>
      <c r="J859" s="44"/>
      <c r="K859" s="367"/>
      <c r="L859" s="520">
        <f t="shared" si="100"/>
      </c>
      <c r="M859" s="169"/>
      <c r="N859" s="199"/>
      <c r="O859" s="199"/>
    </row>
    <row r="860" spans="1:15" s="1" customFormat="1" ht="12.75">
      <c r="A860" s="595">
        <v>568574</v>
      </c>
      <c r="B860" s="596" t="s">
        <v>813</v>
      </c>
      <c r="C860" s="20"/>
      <c r="D860" s="72"/>
      <c r="E860" s="72"/>
      <c r="F860" s="95"/>
      <c r="G860" s="378">
        <f t="shared" si="99"/>
        <v>0</v>
      </c>
      <c r="H860" s="38"/>
      <c r="I860" s="44"/>
      <c r="J860" s="44"/>
      <c r="K860" s="367"/>
      <c r="L860" s="520">
        <f t="shared" si="100"/>
      </c>
      <c r="M860" s="169"/>
      <c r="N860" s="199"/>
      <c r="O860" s="199"/>
    </row>
    <row r="861" spans="1:15" s="1" customFormat="1" ht="12.75">
      <c r="A861" s="595">
        <v>568575</v>
      </c>
      <c r="B861" s="596" t="s">
        <v>814</v>
      </c>
      <c r="C861" s="20"/>
      <c r="D861" s="72"/>
      <c r="E861" s="72"/>
      <c r="F861" s="95"/>
      <c r="G861" s="378">
        <f t="shared" si="99"/>
        <v>0</v>
      </c>
      <c r="H861" s="38"/>
      <c r="I861" s="44"/>
      <c r="J861" s="44"/>
      <c r="K861" s="367"/>
      <c r="L861" s="520">
        <f t="shared" si="100"/>
      </c>
      <c r="M861" s="169"/>
      <c r="N861" s="199"/>
      <c r="O861" s="199"/>
    </row>
    <row r="862" spans="1:15" s="1" customFormat="1" ht="12.75">
      <c r="A862" s="595">
        <v>568577</v>
      </c>
      <c r="B862" s="596" t="s">
        <v>815</v>
      </c>
      <c r="C862" s="20"/>
      <c r="D862" s="72"/>
      <c r="E862" s="72"/>
      <c r="F862" s="95"/>
      <c r="G862" s="378">
        <f t="shared" si="99"/>
        <v>0</v>
      </c>
      <c r="H862" s="38"/>
      <c r="I862" s="44"/>
      <c r="J862" s="44"/>
      <c r="K862" s="367"/>
      <c r="L862" s="520">
        <f t="shared" si="100"/>
      </c>
      <c r="M862" s="169"/>
      <c r="N862" s="199"/>
      <c r="O862" s="199"/>
    </row>
    <row r="863" spans="1:15" s="1" customFormat="1" ht="12.75">
      <c r="A863" s="595">
        <v>568580</v>
      </c>
      <c r="B863" s="596" t="s">
        <v>816</v>
      </c>
      <c r="C863" s="20"/>
      <c r="D863" s="72"/>
      <c r="E863" s="72"/>
      <c r="F863" s="95"/>
      <c r="G863" s="378">
        <f t="shared" si="99"/>
        <v>0</v>
      </c>
      <c r="H863" s="38"/>
      <c r="I863" s="41"/>
      <c r="J863" s="41"/>
      <c r="K863" s="367"/>
      <c r="L863" s="520">
        <f t="shared" si="100"/>
      </c>
      <c r="M863" s="169"/>
      <c r="N863" s="199"/>
      <c r="O863" s="199"/>
    </row>
    <row r="864" spans="1:15" s="1" customFormat="1" ht="12.75">
      <c r="A864" s="595">
        <v>568591</v>
      </c>
      <c r="B864" s="597" t="s">
        <v>817</v>
      </c>
      <c r="C864" s="20"/>
      <c r="D864" s="72"/>
      <c r="E864" s="72"/>
      <c r="F864" s="210"/>
      <c r="G864" s="378">
        <f t="shared" si="99"/>
        <v>0</v>
      </c>
      <c r="H864" s="38"/>
      <c r="I864" s="41"/>
      <c r="J864" s="41"/>
      <c r="K864" s="367"/>
      <c r="L864" s="520">
        <f t="shared" si="100"/>
      </c>
      <c r="M864" s="169"/>
      <c r="N864" s="199"/>
      <c r="O864" s="199"/>
    </row>
    <row r="865" spans="1:15" s="1" customFormat="1" ht="12.75">
      <c r="A865" s="595">
        <v>568592</v>
      </c>
      <c r="B865" s="596" t="s">
        <v>293</v>
      </c>
      <c r="C865" s="20"/>
      <c r="D865" s="72"/>
      <c r="E865" s="72"/>
      <c r="F865" s="210"/>
      <c r="G865" s="378">
        <f t="shared" si="99"/>
        <v>0</v>
      </c>
      <c r="H865" s="38"/>
      <c r="I865" s="41"/>
      <c r="J865" s="41"/>
      <c r="K865" s="367"/>
      <c r="L865" s="520">
        <f t="shared" si="100"/>
      </c>
      <c r="M865" s="169"/>
      <c r="N865" s="199"/>
      <c r="O865" s="199"/>
    </row>
    <row r="866" spans="1:15" s="1" customFormat="1" ht="12.75">
      <c r="A866" s="595">
        <v>568594</v>
      </c>
      <c r="B866" s="596" t="s">
        <v>818</v>
      </c>
      <c r="C866" s="20"/>
      <c r="D866" s="72"/>
      <c r="E866" s="72"/>
      <c r="F866" s="210"/>
      <c r="G866" s="378">
        <f t="shared" si="99"/>
        <v>0</v>
      </c>
      <c r="H866" s="38"/>
      <c r="I866" s="41"/>
      <c r="J866" s="41"/>
      <c r="K866" s="367"/>
      <c r="L866" s="520">
        <f t="shared" si="100"/>
      </c>
      <c r="M866" s="169"/>
      <c r="N866" s="199"/>
      <c r="O866" s="199"/>
    </row>
    <row r="867" spans="1:15" s="1" customFormat="1" ht="12.75">
      <c r="A867" s="595">
        <v>568595</v>
      </c>
      <c r="B867" s="596" t="s">
        <v>819</v>
      </c>
      <c r="C867" s="20"/>
      <c r="D867" s="72"/>
      <c r="E867" s="72"/>
      <c r="F867" s="95"/>
      <c r="G867" s="378">
        <f>IF(X=0,(IF(Me=0,Sa,Me*Sa)),(IF(Me=0,Sa*X,Me*X*Sa)))</f>
        <v>0</v>
      </c>
      <c r="H867" s="38"/>
      <c r="I867" s="41"/>
      <c r="J867" s="41"/>
      <c r="K867" s="367"/>
      <c r="L867" s="520">
        <f t="shared" si="100"/>
      </c>
      <c r="M867" s="169"/>
      <c r="N867" s="199"/>
      <c r="O867" s="199"/>
    </row>
    <row r="868" spans="1:15" s="1" customFormat="1" ht="12.75">
      <c r="A868" s="595">
        <v>568597</v>
      </c>
      <c r="B868" s="596" t="s">
        <v>790</v>
      </c>
      <c r="C868" s="20"/>
      <c r="D868" s="72"/>
      <c r="E868" s="72"/>
      <c r="F868" s="95"/>
      <c r="G868" s="378">
        <f>IF(X=0,(IF(Me=0,Sa,Me*Sa)),(IF(Me=0,Sa*X,Me*X*Sa)))</f>
        <v>0</v>
      </c>
      <c r="H868" s="38"/>
      <c r="I868" s="41"/>
      <c r="J868" s="41"/>
      <c r="K868" s="367"/>
      <c r="L868" s="520">
        <f t="shared" si="100"/>
      </c>
      <c r="M868" s="169"/>
      <c r="N868" s="199"/>
      <c r="O868" s="199"/>
    </row>
    <row r="869" spans="1:15" s="1" customFormat="1" ht="12.75">
      <c r="A869" s="595">
        <v>568598</v>
      </c>
      <c r="B869" s="596" t="s">
        <v>789</v>
      </c>
      <c r="C869" s="20"/>
      <c r="D869" s="72"/>
      <c r="E869" s="72"/>
      <c r="F869" s="95"/>
      <c r="G869" s="378">
        <f>IF(X=0,(IF(Me=0,Sa,Me*Sa)),(IF(Me=0,Sa*X,Me*X*Sa)))</f>
        <v>0</v>
      </c>
      <c r="H869" s="38"/>
      <c r="I869" s="41"/>
      <c r="J869" s="41"/>
      <c r="K869" s="367"/>
      <c r="L869" s="520">
        <f t="shared" si="100"/>
      </c>
      <c r="M869" s="169"/>
      <c r="N869" s="199"/>
      <c r="O869" s="199"/>
    </row>
    <row r="870" spans="1:15" s="1" customFormat="1" ht="12.75">
      <c r="A870" s="595">
        <v>568599</v>
      </c>
      <c r="B870" s="597" t="s">
        <v>359</v>
      </c>
      <c r="C870" s="20" t="s">
        <v>416</v>
      </c>
      <c r="D870" s="220"/>
      <c r="E870" s="220"/>
      <c r="F870" s="221"/>
      <c r="G870" s="379">
        <f>IF(X=0,(IF(Me=0,Sa,Me*Sa)),(IF(Me=0,Sa*X,Me*X*Sa)))</f>
        <v>0</v>
      </c>
      <c r="H870" s="38"/>
      <c r="I870" s="41"/>
      <c r="J870" s="41"/>
      <c r="K870" s="367"/>
      <c r="L870" s="520">
        <f t="shared" si="100"/>
      </c>
      <c r="M870" s="169"/>
      <c r="N870" s="199"/>
      <c r="O870" s="199"/>
    </row>
    <row r="871" spans="1:15" s="1" customFormat="1" ht="13.5" thickBot="1">
      <c r="A871" s="231" t="s">
        <v>401</v>
      </c>
      <c r="B871" s="6"/>
      <c r="C871" s="22"/>
      <c r="D871" s="44"/>
      <c r="E871" s="71"/>
      <c r="F871" s="90" t="s">
        <v>570</v>
      </c>
      <c r="G871" s="383">
        <f>SUM(G828:G870)</f>
        <v>0</v>
      </c>
      <c r="H871" s="38"/>
      <c r="I871" s="44"/>
      <c r="J871" s="44"/>
      <c r="K871" s="366"/>
      <c r="L871" s="383">
        <f>SUM(L828:L870)</f>
        <v>0</v>
      </c>
      <c r="M871" s="169"/>
      <c r="N871" s="199"/>
      <c r="O871" s="199"/>
    </row>
    <row r="872" spans="1:15" s="1" customFormat="1" ht="0.75" customHeight="1" thickTop="1">
      <c r="A872" s="226"/>
      <c r="C872" s="21"/>
      <c r="D872" s="48"/>
      <c r="E872" s="64"/>
      <c r="F872" s="48"/>
      <c r="G872" s="44"/>
      <c r="H872" s="38"/>
      <c r="I872" s="41"/>
      <c r="J872" s="41"/>
      <c r="K872" s="366"/>
      <c r="L872" s="516"/>
      <c r="M872" s="169"/>
      <c r="N872" s="199"/>
      <c r="O872" s="199"/>
    </row>
    <row r="873" spans="1:15" s="1" customFormat="1" ht="24.75" customHeight="1" thickTop="1">
      <c r="A873" s="228" t="s">
        <v>537</v>
      </c>
      <c r="B873" s="16"/>
      <c r="C873" s="21"/>
      <c r="D873" s="171" t="s">
        <v>422</v>
      </c>
      <c r="E873" s="172" t="s">
        <v>423</v>
      </c>
      <c r="F873" s="171" t="s">
        <v>424</v>
      </c>
      <c r="G873" s="171" t="s">
        <v>425</v>
      </c>
      <c r="H873" s="171" t="s">
        <v>426</v>
      </c>
      <c r="I873" s="173" t="s">
        <v>427</v>
      </c>
      <c r="J873" s="173"/>
      <c r="K873" s="366"/>
      <c r="L873" s="518" t="s">
        <v>688</v>
      </c>
      <c r="M873" s="169"/>
      <c r="N873" s="199"/>
      <c r="O873" s="199"/>
    </row>
    <row r="874" spans="1:15" s="1" customFormat="1" ht="12.75">
      <c r="A874" s="224">
        <v>611110</v>
      </c>
      <c r="B874" s="9" t="s">
        <v>360</v>
      </c>
      <c r="C874" s="20"/>
      <c r="D874" s="72"/>
      <c r="E874" s="72"/>
      <c r="F874" s="95"/>
      <c r="G874" s="377">
        <f aca="true" t="shared" si="101" ref="G874:G880">IF(X=0,(IF(Me=0,Sa,Me*Sa)),(IF(Me=0,Sa*X,Me*X*Sa)))</f>
        <v>0</v>
      </c>
      <c r="H874" s="375">
        <f aca="true" t="shared" si="102" ref="H874:H880">IF(Sum,Sos,0)</f>
        <v>0</v>
      </c>
      <c r="I874" s="376">
        <f aca="true" t="shared" si="103" ref="I874:I880">IF(Prosent&lt;&gt;0,(Sum*Prosent)/100,0)</f>
        <v>0</v>
      </c>
      <c r="J874" s="41"/>
      <c r="K874" s="367"/>
      <c r="L874" s="520">
        <f aca="true" t="shared" si="104" ref="L874:L929">IF(FMVA&lt;&gt;"",(Sum*mva)-Sum,"")</f>
      </c>
      <c r="M874" s="169"/>
      <c r="N874" s="199"/>
      <c r="O874" s="199"/>
    </row>
    <row r="875" spans="1:15" s="1" customFormat="1" ht="12.75">
      <c r="A875" s="224">
        <v>611112</v>
      </c>
      <c r="B875" s="9" t="s">
        <v>361</v>
      </c>
      <c r="C875" s="20"/>
      <c r="D875" s="72"/>
      <c r="E875" s="72"/>
      <c r="F875" s="95"/>
      <c r="G875" s="378">
        <f t="shared" si="101"/>
        <v>0</v>
      </c>
      <c r="H875" s="375">
        <f t="shared" si="102"/>
        <v>0</v>
      </c>
      <c r="I875" s="376">
        <f t="shared" si="103"/>
        <v>0</v>
      </c>
      <c r="J875" s="41"/>
      <c r="K875" s="367"/>
      <c r="L875" s="520">
        <f t="shared" si="104"/>
      </c>
      <c r="M875" s="169"/>
      <c r="N875" s="199"/>
      <c r="O875" s="199"/>
    </row>
    <row r="876" spans="1:15" s="1" customFormat="1" ht="12.75">
      <c r="A876" s="224">
        <v>611114</v>
      </c>
      <c r="B876" s="9" t="s">
        <v>362</v>
      </c>
      <c r="C876" s="20"/>
      <c r="D876" s="72"/>
      <c r="E876" s="72"/>
      <c r="F876" s="95"/>
      <c r="G876" s="378">
        <f t="shared" si="101"/>
        <v>0</v>
      </c>
      <c r="H876" s="375">
        <f t="shared" si="102"/>
        <v>0</v>
      </c>
      <c r="I876" s="376">
        <f t="shared" si="103"/>
        <v>0</v>
      </c>
      <c r="J876" s="41"/>
      <c r="K876" s="367"/>
      <c r="L876" s="520">
        <f t="shared" si="104"/>
      </c>
      <c r="M876" s="169"/>
      <c r="N876" s="199"/>
      <c r="O876" s="199"/>
    </row>
    <row r="877" spans="1:15" s="1" customFormat="1" ht="12.75">
      <c r="A877" s="224">
        <v>613720</v>
      </c>
      <c r="B877" s="9" t="s">
        <v>744</v>
      </c>
      <c r="C877" s="20"/>
      <c r="D877" s="72"/>
      <c r="E877" s="72"/>
      <c r="F877" s="95"/>
      <c r="G877" s="378">
        <f t="shared" si="101"/>
        <v>0</v>
      </c>
      <c r="H877" s="375">
        <f t="shared" si="102"/>
        <v>0</v>
      </c>
      <c r="I877" s="376">
        <f t="shared" si="103"/>
        <v>0</v>
      </c>
      <c r="J877" s="41"/>
      <c r="K877" s="367"/>
      <c r="L877" s="520">
        <f t="shared" si="104"/>
      </c>
      <c r="M877" s="169"/>
      <c r="N877" s="199"/>
      <c r="O877" s="199"/>
    </row>
    <row r="878" spans="1:15" s="1" customFormat="1" ht="12.75">
      <c r="A878" s="224">
        <v>614090</v>
      </c>
      <c r="B878" s="9" t="s">
        <v>552</v>
      </c>
      <c r="C878" s="20"/>
      <c r="D878" s="72"/>
      <c r="E878" s="72"/>
      <c r="F878" s="95"/>
      <c r="G878" s="378">
        <f t="shared" si="101"/>
        <v>0</v>
      </c>
      <c r="H878" s="375">
        <f t="shared" si="102"/>
        <v>0</v>
      </c>
      <c r="I878" s="376">
        <f t="shared" si="103"/>
        <v>0</v>
      </c>
      <c r="J878" s="41"/>
      <c r="K878" s="367"/>
      <c r="L878" s="520">
        <f t="shared" si="104"/>
      </c>
      <c r="M878" s="169"/>
      <c r="N878" s="199"/>
      <c r="O878" s="199"/>
    </row>
    <row r="879" spans="1:15" s="1" customFormat="1" ht="12.75">
      <c r="A879" s="224">
        <v>614091</v>
      </c>
      <c r="B879" s="9" t="s">
        <v>553</v>
      </c>
      <c r="C879" s="20"/>
      <c r="D879" s="55"/>
      <c r="E879" s="72"/>
      <c r="F879" s="98"/>
      <c r="G879" s="378">
        <f t="shared" si="101"/>
        <v>0</v>
      </c>
      <c r="H879" s="375">
        <f t="shared" si="102"/>
        <v>0</v>
      </c>
      <c r="I879" s="376">
        <f t="shared" si="103"/>
        <v>0</v>
      </c>
      <c r="J879" s="41"/>
      <c r="K879" s="367"/>
      <c r="L879" s="520">
        <f t="shared" si="104"/>
      </c>
      <c r="M879" s="169"/>
      <c r="N879" s="199"/>
      <c r="O879" s="199"/>
    </row>
    <row r="880" spans="1:15" s="1" customFormat="1" ht="12.75">
      <c r="A880" s="224">
        <v>614092</v>
      </c>
      <c r="B880" s="9" t="s">
        <v>590</v>
      </c>
      <c r="C880" s="20"/>
      <c r="D880" s="72"/>
      <c r="E880" s="72"/>
      <c r="F880" s="95"/>
      <c r="G880" s="378">
        <f t="shared" si="101"/>
        <v>0</v>
      </c>
      <c r="H880" s="375">
        <f t="shared" si="102"/>
        <v>0</v>
      </c>
      <c r="I880" s="376">
        <f t="shared" si="103"/>
        <v>0</v>
      </c>
      <c r="J880" s="41"/>
      <c r="K880" s="367"/>
      <c r="L880" s="520">
        <f t="shared" si="104"/>
      </c>
      <c r="M880" s="169"/>
      <c r="N880" s="199"/>
      <c r="O880" s="199"/>
    </row>
    <row r="881" spans="1:15" s="1" customFormat="1" ht="12.75">
      <c r="A881" s="224">
        <v>614095</v>
      </c>
      <c r="B881" s="9" t="s">
        <v>554</v>
      </c>
      <c r="C881" s="20"/>
      <c r="D881" s="73"/>
      <c r="E881" s="73"/>
      <c r="F881" s="94"/>
      <c r="G881" s="384">
        <f>SUM(I874:I880)</f>
        <v>0</v>
      </c>
      <c r="H881" s="38"/>
      <c r="I881" s="39" t="s">
        <v>555</v>
      </c>
      <c r="J881" s="39"/>
      <c r="K881" s="572"/>
      <c r="L881" s="520"/>
      <c r="M881" s="169"/>
      <c r="N881" s="199"/>
      <c r="O881" s="199"/>
    </row>
    <row r="882" spans="1:15" s="1" customFormat="1" ht="12.75">
      <c r="A882" s="224">
        <v>618610</v>
      </c>
      <c r="B882" s="9" t="s">
        <v>363</v>
      </c>
      <c r="C882" s="20"/>
      <c r="D882" s="72"/>
      <c r="E882" s="72"/>
      <c r="F882" s="95"/>
      <c r="G882" s="378">
        <f aca="true" t="shared" si="105" ref="G882:G912">IF(X=0,(IF(Me=0,Sa,Me*Sa)),(IF(Me=0,Sa*X,Me*X*Sa)))</f>
        <v>0</v>
      </c>
      <c r="H882" s="38"/>
      <c r="I882" s="41"/>
      <c r="J882" s="41"/>
      <c r="K882" s="367"/>
      <c r="L882" s="520">
        <f t="shared" si="104"/>
      </c>
      <c r="M882" s="169"/>
      <c r="N882" s="199"/>
      <c r="O882" s="199"/>
    </row>
    <row r="883" spans="1:15" s="1" customFormat="1" ht="12.75">
      <c r="A883" s="224">
        <v>618620</v>
      </c>
      <c r="B883" s="9" t="s">
        <v>654</v>
      </c>
      <c r="C883" s="20"/>
      <c r="D883" s="72"/>
      <c r="E883" s="72"/>
      <c r="F883" s="95"/>
      <c r="G883" s="378">
        <f t="shared" si="105"/>
        <v>0</v>
      </c>
      <c r="H883" s="38"/>
      <c r="I883" s="41"/>
      <c r="J883" s="41"/>
      <c r="K883" s="367"/>
      <c r="L883" s="520">
        <f t="shared" si="104"/>
      </c>
      <c r="M883" s="169"/>
      <c r="N883" s="199"/>
      <c r="O883" s="199"/>
    </row>
    <row r="884" spans="1:15" s="1" customFormat="1" ht="12.75">
      <c r="A884" s="224">
        <v>618621</v>
      </c>
      <c r="B884" s="9" t="s">
        <v>364</v>
      </c>
      <c r="C884" s="20"/>
      <c r="D884" s="72"/>
      <c r="E884" s="72"/>
      <c r="F884" s="95"/>
      <c r="G884" s="378">
        <f t="shared" si="105"/>
        <v>0</v>
      </c>
      <c r="H884" s="38"/>
      <c r="I884" s="41"/>
      <c r="J884" s="41"/>
      <c r="K884" s="367"/>
      <c r="L884" s="520">
        <f t="shared" si="104"/>
      </c>
      <c r="M884" s="169"/>
      <c r="N884" s="199"/>
      <c r="O884" s="199"/>
    </row>
    <row r="885" spans="1:15" s="1" customFormat="1" ht="12.75">
      <c r="A885" s="224">
        <v>618622</v>
      </c>
      <c r="B885" s="9" t="s">
        <v>593</v>
      </c>
      <c r="C885" s="20"/>
      <c r="D885" s="72"/>
      <c r="E885" s="72"/>
      <c r="F885" s="95"/>
      <c r="G885" s="378">
        <f t="shared" si="105"/>
        <v>0</v>
      </c>
      <c r="H885" s="38"/>
      <c r="I885" s="41"/>
      <c r="J885" s="41"/>
      <c r="K885" s="367"/>
      <c r="L885" s="520">
        <f t="shared" si="104"/>
      </c>
      <c r="M885" s="169"/>
      <c r="N885" s="199"/>
      <c r="O885" s="199"/>
    </row>
    <row r="886" spans="1:15" s="1" customFormat="1" ht="12.75">
      <c r="A886" s="224">
        <v>618625</v>
      </c>
      <c r="B886" s="9" t="s">
        <v>745</v>
      </c>
      <c r="C886" s="20"/>
      <c r="D886" s="72"/>
      <c r="E886" s="72"/>
      <c r="F886" s="95"/>
      <c r="G886" s="378">
        <f>IF(X=0,(IF(Me=0,Sa,Me*Sa)),(IF(Me=0,Sa*X,Me*X*Sa)))</f>
        <v>0</v>
      </c>
      <c r="H886" s="38"/>
      <c r="I886" s="41"/>
      <c r="J886" s="41"/>
      <c r="K886" s="367"/>
      <c r="L886" s="520">
        <f>IF(FMVA&lt;&gt;"",(Sum*mva)-Sum,"")</f>
      </c>
      <c r="M886" s="169"/>
      <c r="N886" s="199"/>
      <c r="O886" s="199"/>
    </row>
    <row r="887" spans="1:15" s="1" customFormat="1" ht="12.75">
      <c r="A887" s="224">
        <v>618640</v>
      </c>
      <c r="B887" s="9" t="s">
        <v>365</v>
      </c>
      <c r="C887" s="20"/>
      <c r="D887" s="72"/>
      <c r="E887" s="72"/>
      <c r="F887" s="95"/>
      <c r="G887" s="378">
        <f t="shared" si="105"/>
        <v>0</v>
      </c>
      <c r="H887" s="38"/>
      <c r="I887" s="41"/>
      <c r="J887" s="41"/>
      <c r="K887" s="367"/>
      <c r="L887" s="520">
        <f t="shared" si="104"/>
      </c>
      <c r="M887" s="169"/>
      <c r="N887" s="199"/>
      <c r="O887" s="199"/>
    </row>
    <row r="888" spans="1:15" s="1" customFormat="1" ht="12.75">
      <c r="A888" s="224">
        <v>618641</v>
      </c>
      <c r="B888" s="9" t="s">
        <v>366</v>
      </c>
      <c r="C888" s="20"/>
      <c r="D888" s="72"/>
      <c r="E888" s="72"/>
      <c r="F888" s="95"/>
      <c r="G888" s="378">
        <f t="shared" si="105"/>
        <v>0</v>
      </c>
      <c r="H888" s="38"/>
      <c r="I888" s="41"/>
      <c r="J888" s="41"/>
      <c r="K888" s="367"/>
      <c r="L888" s="520">
        <f t="shared" si="104"/>
      </c>
      <c r="M888" s="169"/>
      <c r="N888" s="199"/>
      <c r="O888" s="199"/>
    </row>
    <row r="889" spans="1:15" s="1" customFormat="1" ht="12.75">
      <c r="A889" s="224">
        <v>618642</v>
      </c>
      <c r="B889" s="13" t="s">
        <v>367</v>
      </c>
      <c r="C889" s="20"/>
      <c r="D889" s="72"/>
      <c r="E889" s="72"/>
      <c r="F889" s="95"/>
      <c r="G889" s="378">
        <f t="shared" si="105"/>
        <v>0</v>
      </c>
      <c r="H889" s="38"/>
      <c r="I889" s="41"/>
      <c r="J889" s="41"/>
      <c r="K889" s="367"/>
      <c r="L889" s="520">
        <f t="shared" si="104"/>
      </c>
      <c r="M889" s="169"/>
      <c r="N889" s="199"/>
      <c r="O889" s="199"/>
    </row>
    <row r="890" spans="1:15" s="1" customFormat="1" ht="12.75">
      <c r="A890" s="224">
        <v>618643</v>
      </c>
      <c r="B890" s="13" t="s">
        <v>141</v>
      </c>
      <c r="C890" s="20"/>
      <c r="D890" s="72"/>
      <c r="E890" s="72"/>
      <c r="F890" s="95"/>
      <c r="G890" s="378">
        <f t="shared" si="105"/>
        <v>0</v>
      </c>
      <c r="H890" s="38"/>
      <c r="I890" s="41"/>
      <c r="J890" s="41"/>
      <c r="K890" s="367"/>
      <c r="L890" s="520">
        <f t="shared" si="104"/>
      </c>
      <c r="M890" s="169"/>
      <c r="N890" s="199"/>
      <c r="O890" s="199"/>
    </row>
    <row r="891" spans="1:15" s="1" customFormat="1" ht="12.75">
      <c r="A891" s="224">
        <v>618670</v>
      </c>
      <c r="B891" s="9" t="s">
        <v>824</v>
      </c>
      <c r="C891" s="20" t="s">
        <v>416</v>
      </c>
      <c r="D891" s="72"/>
      <c r="E891" s="72"/>
      <c r="F891" s="95"/>
      <c r="G891" s="378">
        <f t="shared" si="105"/>
        <v>0</v>
      </c>
      <c r="H891" s="38"/>
      <c r="I891" s="41"/>
      <c r="J891" s="41"/>
      <c r="K891" s="367"/>
      <c r="L891" s="520">
        <f t="shared" si="104"/>
      </c>
      <c r="M891" s="169"/>
      <c r="N891" s="199"/>
      <c r="O891" s="199"/>
    </row>
    <row r="892" spans="1:15" s="1" customFormat="1" ht="12.75">
      <c r="A892" s="224">
        <v>618672</v>
      </c>
      <c r="B892" s="9" t="s">
        <v>369</v>
      </c>
      <c r="C892" s="20"/>
      <c r="D892" s="72"/>
      <c r="E892" s="72"/>
      <c r="F892" s="95"/>
      <c r="G892" s="378">
        <f t="shared" si="105"/>
        <v>0</v>
      </c>
      <c r="H892" s="38"/>
      <c r="I892" s="41"/>
      <c r="J892" s="41"/>
      <c r="K892" s="367"/>
      <c r="L892" s="520">
        <f t="shared" si="104"/>
      </c>
      <c r="M892" s="169"/>
      <c r="N892" s="199"/>
      <c r="O892" s="199"/>
    </row>
    <row r="893" spans="1:15" s="1" customFormat="1" ht="12.75">
      <c r="A893" s="224">
        <v>618675</v>
      </c>
      <c r="B893" s="9" t="s">
        <v>746</v>
      </c>
      <c r="C893" s="20"/>
      <c r="D893" s="72"/>
      <c r="E893" s="72"/>
      <c r="F893" s="95"/>
      <c r="G893" s="378">
        <f t="shared" si="105"/>
        <v>0</v>
      </c>
      <c r="H893" s="38"/>
      <c r="I893" s="41"/>
      <c r="J893" s="41"/>
      <c r="K893" s="367"/>
      <c r="L893" s="520">
        <f t="shared" si="104"/>
      </c>
      <c r="M893" s="169"/>
      <c r="N893" s="199"/>
      <c r="O893" s="199"/>
    </row>
    <row r="894" spans="1:15" s="1" customFormat="1" ht="12.75">
      <c r="A894" s="224">
        <v>618680</v>
      </c>
      <c r="B894" s="9" t="s">
        <v>371</v>
      </c>
      <c r="C894" s="20"/>
      <c r="D894" s="72"/>
      <c r="E894" s="72"/>
      <c r="F894" s="95"/>
      <c r="G894" s="378">
        <f t="shared" si="105"/>
        <v>0</v>
      </c>
      <c r="H894" s="38"/>
      <c r="I894" s="41"/>
      <c r="J894" s="41"/>
      <c r="K894" s="367"/>
      <c r="L894" s="520">
        <f t="shared" si="104"/>
      </c>
      <c r="M894" s="169"/>
      <c r="N894" s="199"/>
      <c r="O894" s="199"/>
    </row>
    <row r="895" spans="1:15" s="1" customFormat="1" ht="12.75">
      <c r="A895" s="224">
        <v>618681</v>
      </c>
      <c r="B895" s="9" t="s">
        <v>372</v>
      </c>
      <c r="C895" s="20"/>
      <c r="D895" s="72"/>
      <c r="E895" s="72"/>
      <c r="F895" s="95"/>
      <c r="G895" s="378">
        <f t="shared" si="105"/>
        <v>0</v>
      </c>
      <c r="H895" s="38"/>
      <c r="I895" s="41"/>
      <c r="J895" s="41"/>
      <c r="K895" s="367"/>
      <c r="L895" s="520">
        <f t="shared" si="104"/>
      </c>
      <c r="M895" s="169"/>
      <c r="N895" s="199"/>
      <c r="O895" s="199"/>
    </row>
    <row r="896" spans="1:15" s="1" customFormat="1" ht="12.75">
      <c r="A896" s="224">
        <v>618682</v>
      </c>
      <c r="B896" s="9" t="s">
        <v>373</v>
      </c>
      <c r="C896" s="20"/>
      <c r="D896" s="72"/>
      <c r="E896" s="72"/>
      <c r="F896" s="95"/>
      <c r="G896" s="378">
        <f t="shared" si="105"/>
        <v>0</v>
      </c>
      <c r="H896" s="38"/>
      <c r="I896" s="41"/>
      <c r="J896" s="41"/>
      <c r="K896" s="367"/>
      <c r="L896" s="520">
        <f t="shared" si="104"/>
      </c>
      <c r="M896" s="169"/>
      <c r="N896" s="199"/>
      <c r="O896" s="199"/>
    </row>
    <row r="897" spans="1:15" s="1" customFormat="1" ht="12.75">
      <c r="A897" s="224">
        <v>618683</v>
      </c>
      <c r="B897" s="9" t="s">
        <v>374</v>
      </c>
      <c r="C897" s="20"/>
      <c r="D897" s="72"/>
      <c r="E897" s="72"/>
      <c r="F897" s="95"/>
      <c r="G897" s="378">
        <f t="shared" si="105"/>
        <v>0</v>
      </c>
      <c r="H897" s="38"/>
      <c r="I897" s="41"/>
      <c r="J897" s="41"/>
      <c r="K897" s="367"/>
      <c r="L897" s="520">
        <f t="shared" si="104"/>
      </c>
      <c r="M897" s="169"/>
      <c r="N897" s="199"/>
      <c r="O897" s="199"/>
    </row>
    <row r="898" spans="1:15" s="1" customFormat="1" ht="12.75">
      <c r="A898" s="224">
        <v>618684</v>
      </c>
      <c r="B898" s="9" t="s">
        <v>651</v>
      </c>
      <c r="C898" s="20"/>
      <c r="D898" s="72"/>
      <c r="E898" s="72"/>
      <c r="F898" s="95"/>
      <c r="G898" s="378">
        <f t="shared" si="105"/>
        <v>0</v>
      </c>
      <c r="H898" s="38"/>
      <c r="I898" s="41"/>
      <c r="J898" s="41"/>
      <c r="K898" s="367"/>
      <c r="L898" s="520">
        <f t="shared" si="104"/>
      </c>
      <c r="M898" s="169"/>
      <c r="N898" s="199"/>
      <c r="O898" s="199"/>
    </row>
    <row r="899" spans="1:15" s="1" customFormat="1" ht="12.75">
      <c r="A899" s="224">
        <v>618685</v>
      </c>
      <c r="B899" s="9" t="s">
        <v>650</v>
      </c>
      <c r="C899" s="20"/>
      <c r="D899" s="72"/>
      <c r="E899" s="72"/>
      <c r="F899" s="95"/>
      <c r="G899" s="378">
        <f t="shared" si="105"/>
        <v>0</v>
      </c>
      <c r="H899" s="38"/>
      <c r="I899" s="41"/>
      <c r="J899" s="41"/>
      <c r="K899" s="367"/>
      <c r="L899" s="520">
        <f t="shared" si="104"/>
      </c>
      <c r="M899" s="169"/>
      <c r="N899" s="199"/>
      <c r="O899" s="199"/>
    </row>
    <row r="900" spans="1:15" s="1" customFormat="1" ht="12.75">
      <c r="A900" s="224">
        <v>618686</v>
      </c>
      <c r="B900" s="9" t="s">
        <v>649</v>
      </c>
      <c r="C900" s="20"/>
      <c r="D900" s="72"/>
      <c r="E900" s="72"/>
      <c r="F900" s="95"/>
      <c r="G900" s="378">
        <f t="shared" si="105"/>
        <v>0</v>
      </c>
      <c r="H900" s="38"/>
      <c r="I900" s="41"/>
      <c r="J900" s="41"/>
      <c r="K900" s="367"/>
      <c r="L900" s="520">
        <f t="shared" si="104"/>
      </c>
      <c r="M900" s="169"/>
      <c r="N900" s="199"/>
      <c r="O900" s="199"/>
    </row>
    <row r="901" spans="1:15" s="1" customFormat="1" ht="12.75">
      <c r="A901" s="224">
        <v>618687</v>
      </c>
      <c r="B901" s="9" t="s">
        <v>375</v>
      </c>
      <c r="C901" s="20"/>
      <c r="D901" s="72"/>
      <c r="E901" s="72"/>
      <c r="F901" s="95"/>
      <c r="G901" s="378">
        <f t="shared" si="105"/>
        <v>0</v>
      </c>
      <c r="H901" s="38"/>
      <c r="I901" s="41"/>
      <c r="J901" s="41"/>
      <c r="K901" s="367"/>
      <c r="L901" s="520">
        <f t="shared" si="104"/>
      </c>
      <c r="M901" s="169"/>
      <c r="N901" s="199"/>
      <c r="O901" s="199"/>
    </row>
    <row r="902" spans="1:15" s="1" customFormat="1" ht="12.75">
      <c r="A902" s="224">
        <v>618688</v>
      </c>
      <c r="B902" s="9" t="s">
        <v>376</v>
      </c>
      <c r="C902" s="20"/>
      <c r="D902" s="72"/>
      <c r="E902" s="72"/>
      <c r="F902" s="95"/>
      <c r="G902" s="378">
        <f t="shared" si="105"/>
        <v>0</v>
      </c>
      <c r="H902" s="38"/>
      <c r="I902" s="41"/>
      <c r="J902" s="41"/>
      <c r="K902" s="367"/>
      <c r="L902" s="520">
        <f t="shared" si="104"/>
      </c>
      <c r="M902" s="169"/>
      <c r="N902" s="199"/>
      <c r="O902" s="199"/>
    </row>
    <row r="903" spans="1:15" s="1" customFormat="1" ht="12.75">
      <c r="A903" s="224">
        <v>618689</v>
      </c>
      <c r="B903" s="9" t="s">
        <v>377</v>
      </c>
      <c r="C903" s="20"/>
      <c r="D903" s="72"/>
      <c r="E903" s="72"/>
      <c r="F903" s="95"/>
      <c r="G903" s="378">
        <f t="shared" si="105"/>
        <v>0</v>
      </c>
      <c r="H903" s="38"/>
      <c r="I903" s="41"/>
      <c r="J903" s="41"/>
      <c r="K903" s="367"/>
      <c r="L903" s="520">
        <f t="shared" si="104"/>
      </c>
      <c r="M903" s="169"/>
      <c r="N903" s="199"/>
      <c r="O903" s="199"/>
    </row>
    <row r="904" spans="1:15" s="1" customFormat="1" ht="12.75">
      <c r="A904" s="224">
        <v>618725</v>
      </c>
      <c r="B904" s="9" t="s">
        <v>747</v>
      </c>
      <c r="C904" s="20"/>
      <c r="D904" s="72"/>
      <c r="E904" s="72"/>
      <c r="F904" s="95"/>
      <c r="G904" s="378">
        <f t="shared" si="105"/>
        <v>0</v>
      </c>
      <c r="H904" s="38"/>
      <c r="I904" s="41"/>
      <c r="J904" s="41"/>
      <c r="K904" s="367"/>
      <c r="L904" s="520">
        <f t="shared" si="104"/>
      </c>
      <c r="M904" s="169"/>
      <c r="N904" s="199"/>
      <c r="O904" s="199"/>
    </row>
    <row r="905" spans="1:15" s="1" customFormat="1" ht="12.75">
      <c r="A905" s="224">
        <v>618726</v>
      </c>
      <c r="B905" s="9" t="s">
        <v>748</v>
      </c>
      <c r="C905" s="20"/>
      <c r="D905" s="72"/>
      <c r="E905" s="72"/>
      <c r="F905" s="95"/>
      <c r="G905" s="378">
        <f t="shared" si="105"/>
        <v>0</v>
      </c>
      <c r="H905" s="38"/>
      <c r="I905" s="41"/>
      <c r="J905" s="41"/>
      <c r="K905" s="367"/>
      <c r="L905" s="520">
        <f t="shared" si="104"/>
      </c>
      <c r="M905" s="169"/>
      <c r="N905" s="199"/>
      <c r="O905" s="199"/>
    </row>
    <row r="906" spans="1:15" s="1" customFormat="1" ht="12.75">
      <c r="A906" s="224">
        <v>618727</v>
      </c>
      <c r="B906" s="9" t="s">
        <v>749</v>
      </c>
      <c r="C906" s="20"/>
      <c r="D906" s="72"/>
      <c r="E906" s="72"/>
      <c r="F906" s="95"/>
      <c r="G906" s="378">
        <f t="shared" si="105"/>
        <v>0</v>
      </c>
      <c r="H906" s="38"/>
      <c r="I906" s="41"/>
      <c r="J906" s="41"/>
      <c r="K906" s="367"/>
      <c r="L906" s="520">
        <f t="shared" si="104"/>
      </c>
      <c r="M906" s="169"/>
      <c r="N906" s="199"/>
      <c r="O906" s="199"/>
    </row>
    <row r="907" spans="1:15" s="1" customFormat="1" ht="12.75">
      <c r="A907" s="224">
        <v>619010</v>
      </c>
      <c r="B907" s="9" t="s">
        <v>556</v>
      </c>
      <c r="C907" s="20"/>
      <c r="D907" s="72"/>
      <c r="E907" s="72"/>
      <c r="F907" s="95"/>
      <c r="G907" s="378">
        <f t="shared" si="105"/>
        <v>0</v>
      </c>
      <c r="H907" s="38"/>
      <c r="I907" s="41"/>
      <c r="J907" s="41"/>
      <c r="K907" s="367"/>
      <c r="L907" s="520">
        <f t="shared" si="104"/>
      </c>
      <c r="M907" s="169"/>
      <c r="N907" s="199"/>
      <c r="O907" s="199"/>
    </row>
    <row r="908" spans="1:15" s="1" customFormat="1" ht="12.75">
      <c r="A908" s="224">
        <v>619020</v>
      </c>
      <c r="B908" s="9" t="s">
        <v>13</v>
      </c>
      <c r="C908" s="20"/>
      <c r="D908" s="72"/>
      <c r="E908" s="72"/>
      <c r="F908" s="95"/>
      <c r="G908" s="378">
        <f t="shared" si="105"/>
        <v>0</v>
      </c>
      <c r="H908" s="38"/>
      <c r="I908" s="41"/>
      <c r="J908" s="41"/>
      <c r="K908" s="367"/>
      <c r="L908" s="520">
        <f t="shared" si="104"/>
      </c>
      <c r="M908" s="169"/>
      <c r="N908" s="199"/>
      <c r="O908" s="199"/>
    </row>
    <row r="909" spans="1:15" s="1" customFormat="1" ht="12.75">
      <c r="A909" s="224">
        <v>619021</v>
      </c>
      <c r="B909" s="9" t="s">
        <v>14</v>
      </c>
      <c r="C909" s="20"/>
      <c r="D909" s="72"/>
      <c r="E909" s="72"/>
      <c r="F909" s="95"/>
      <c r="G909" s="378">
        <f t="shared" si="105"/>
        <v>0</v>
      </c>
      <c r="H909" s="38"/>
      <c r="I909" s="41"/>
      <c r="J909" s="41"/>
      <c r="K909" s="367"/>
      <c r="L909" s="520">
        <f t="shared" si="104"/>
      </c>
      <c r="M909" s="169"/>
      <c r="N909" s="199"/>
      <c r="O909" s="199"/>
    </row>
    <row r="910" spans="1:15" s="1" customFormat="1" ht="12.75">
      <c r="A910" s="224">
        <v>619022</v>
      </c>
      <c r="B910" s="9" t="s">
        <v>558</v>
      </c>
      <c r="C910" s="20"/>
      <c r="D910" s="72"/>
      <c r="E910" s="72"/>
      <c r="F910" s="95"/>
      <c r="G910" s="378">
        <f t="shared" si="105"/>
        <v>0</v>
      </c>
      <c r="H910" s="38"/>
      <c r="I910" s="41"/>
      <c r="J910" s="41"/>
      <c r="K910" s="367"/>
      <c r="L910" s="520">
        <f t="shared" si="104"/>
      </c>
      <c r="M910" s="169"/>
      <c r="N910" s="199"/>
      <c r="O910" s="199"/>
    </row>
    <row r="911" spans="1:15" s="1" customFormat="1" ht="12.75">
      <c r="A911" s="224">
        <v>619023</v>
      </c>
      <c r="B911" s="9" t="s">
        <v>559</v>
      </c>
      <c r="C911" s="20"/>
      <c r="D911" s="72"/>
      <c r="E911" s="72"/>
      <c r="F911" s="95"/>
      <c r="G911" s="378">
        <f t="shared" si="105"/>
        <v>0</v>
      </c>
      <c r="H911" s="38"/>
      <c r="I911" s="41"/>
      <c r="J911" s="41"/>
      <c r="K911" s="367"/>
      <c r="L911" s="520">
        <f t="shared" si="104"/>
      </c>
      <c r="M911" s="169"/>
      <c r="N911" s="199"/>
      <c r="O911" s="199"/>
    </row>
    <row r="912" spans="1:15" s="1" customFormat="1" ht="12.75">
      <c r="A912" s="224">
        <v>619025</v>
      </c>
      <c r="B912" s="9" t="s">
        <v>560</v>
      </c>
      <c r="C912" s="20"/>
      <c r="D912" s="72"/>
      <c r="E912" s="72"/>
      <c r="F912" s="95"/>
      <c r="G912" s="378">
        <f t="shared" si="105"/>
        <v>0</v>
      </c>
      <c r="H912" s="38"/>
      <c r="I912" s="41"/>
      <c r="J912" s="41"/>
      <c r="K912" s="367"/>
      <c r="L912" s="520">
        <f t="shared" si="104"/>
      </c>
      <c r="M912" s="169"/>
      <c r="N912" s="199"/>
      <c r="O912" s="199"/>
    </row>
    <row r="913" spans="1:15" s="1" customFormat="1" ht="12.75">
      <c r="A913" s="224">
        <v>619029</v>
      </c>
      <c r="B913" s="9" t="s">
        <v>561</v>
      </c>
      <c r="C913" s="20"/>
      <c r="D913" s="72"/>
      <c r="E913" s="72"/>
      <c r="F913" s="95"/>
      <c r="G913" s="378">
        <f aca="true" t="shared" si="106" ref="G913:G929">IF(X=0,(IF(Me=0,Sa,Me*Sa)),(IF(Me=0,Sa*X,Me*X*Sa)))</f>
        <v>0</v>
      </c>
      <c r="H913" s="38"/>
      <c r="I913" s="41"/>
      <c r="J913" s="41"/>
      <c r="K913" s="367"/>
      <c r="L913" s="520">
        <f t="shared" si="104"/>
      </c>
      <c r="M913" s="169"/>
      <c r="N913" s="199"/>
      <c r="O913" s="199"/>
    </row>
    <row r="914" spans="1:15" s="1" customFormat="1" ht="12.75">
      <c r="A914" s="224">
        <v>619030</v>
      </c>
      <c r="B914" s="9" t="s">
        <v>594</v>
      </c>
      <c r="C914" s="20"/>
      <c r="D914" s="72"/>
      <c r="E914" s="72"/>
      <c r="F914" s="95"/>
      <c r="G914" s="378">
        <f t="shared" si="106"/>
        <v>0</v>
      </c>
      <c r="H914" s="38"/>
      <c r="I914" s="41"/>
      <c r="J914" s="41"/>
      <c r="K914" s="367"/>
      <c r="L914" s="520">
        <f t="shared" si="104"/>
      </c>
      <c r="M914" s="169"/>
      <c r="N914" s="199"/>
      <c r="O914" s="199"/>
    </row>
    <row r="915" spans="1:15" s="1" customFormat="1" ht="12.75">
      <c r="A915" s="224">
        <v>619064</v>
      </c>
      <c r="B915" s="9" t="s">
        <v>21</v>
      </c>
      <c r="C915" s="20"/>
      <c r="D915" s="72"/>
      <c r="E915" s="72"/>
      <c r="F915" s="95"/>
      <c r="G915" s="378">
        <f t="shared" si="106"/>
        <v>0</v>
      </c>
      <c r="H915" s="38"/>
      <c r="I915" s="41"/>
      <c r="J915" s="41"/>
      <c r="K915" s="367"/>
      <c r="L915" s="520">
        <f t="shared" si="104"/>
      </c>
      <c r="M915" s="169"/>
      <c r="N915" s="199"/>
      <c r="O915" s="199"/>
    </row>
    <row r="916" spans="1:15" s="1" customFormat="1" ht="12.75">
      <c r="A916" s="224">
        <v>619069</v>
      </c>
      <c r="B916" s="9" t="s">
        <v>564</v>
      </c>
      <c r="C916" s="20" t="s">
        <v>416</v>
      </c>
      <c r="D916" s="72"/>
      <c r="E916" s="72"/>
      <c r="F916" s="95"/>
      <c r="G916" s="378">
        <f t="shared" si="106"/>
        <v>0</v>
      </c>
      <c r="H916" s="38"/>
      <c r="I916" s="41"/>
      <c r="J916" s="41"/>
      <c r="K916" s="367"/>
      <c r="L916" s="520">
        <f t="shared" si="104"/>
      </c>
      <c r="M916" s="169"/>
      <c r="N916" s="199"/>
      <c r="O916" s="199"/>
    </row>
    <row r="917" spans="1:15" s="1" customFormat="1" ht="12.75">
      <c r="A917" s="224">
        <v>619070</v>
      </c>
      <c r="B917" s="9" t="s">
        <v>565</v>
      </c>
      <c r="C917" s="20"/>
      <c r="D917" s="72"/>
      <c r="E917" s="72"/>
      <c r="F917" s="95"/>
      <c r="G917" s="378">
        <f t="shared" si="106"/>
        <v>0</v>
      </c>
      <c r="H917" s="38"/>
      <c r="I917" s="41"/>
      <c r="J917" s="41"/>
      <c r="K917" s="367"/>
      <c r="L917" s="520">
        <f t="shared" si="104"/>
      </c>
      <c r="M917" s="169"/>
      <c r="N917" s="199"/>
      <c r="O917" s="199"/>
    </row>
    <row r="918" spans="1:15" s="1" customFormat="1" ht="12.75">
      <c r="A918" s="224">
        <v>619072</v>
      </c>
      <c r="B918" s="9" t="s">
        <v>566</v>
      </c>
      <c r="C918" s="20"/>
      <c r="D918" s="72"/>
      <c r="E918" s="72"/>
      <c r="F918" s="95"/>
      <c r="G918" s="378">
        <f t="shared" si="106"/>
        <v>0</v>
      </c>
      <c r="H918" s="38"/>
      <c r="I918" s="41"/>
      <c r="J918" s="41"/>
      <c r="K918" s="367"/>
      <c r="L918" s="520">
        <f t="shared" si="104"/>
      </c>
      <c r="M918" s="169"/>
      <c r="N918" s="199"/>
      <c r="O918" s="199"/>
    </row>
    <row r="919" spans="1:15" s="1" customFormat="1" ht="12.75">
      <c r="A919" s="224">
        <v>619073</v>
      </c>
      <c r="B919" s="9" t="s">
        <v>567</v>
      </c>
      <c r="C919" s="20"/>
      <c r="D919" s="72"/>
      <c r="E919" s="72"/>
      <c r="F919" s="95"/>
      <c r="G919" s="378">
        <f t="shared" si="106"/>
        <v>0</v>
      </c>
      <c r="H919" s="38"/>
      <c r="I919" s="41"/>
      <c r="J919" s="41"/>
      <c r="K919" s="367"/>
      <c r="L919" s="520">
        <f t="shared" si="104"/>
      </c>
      <c r="M919" s="169"/>
      <c r="N919" s="199"/>
      <c r="O919" s="199"/>
    </row>
    <row r="920" spans="1:15" s="1" customFormat="1" ht="12.75">
      <c r="A920" s="224">
        <v>619077</v>
      </c>
      <c r="B920" s="9" t="s">
        <v>598</v>
      </c>
      <c r="C920" s="20"/>
      <c r="D920" s="72"/>
      <c r="E920" s="72"/>
      <c r="F920" s="95"/>
      <c r="G920" s="378">
        <f t="shared" si="106"/>
        <v>0</v>
      </c>
      <c r="H920" s="38"/>
      <c r="I920" s="41"/>
      <c r="J920" s="41"/>
      <c r="K920" s="367"/>
      <c r="L920" s="520">
        <f t="shared" si="104"/>
      </c>
      <c r="M920" s="169"/>
      <c r="N920" s="199"/>
      <c r="O920" s="199"/>
    </row>
    <row r="921" spans="1:15" s="1" customFormat="1" ht="12.75">
      <c r="A921" s="224">
        <v>619078</v>
      </c>
      <c r="B921" s="9" t="s">
        <v>568</v>
      </c>
      <c r="C921" s="20"/>
      <c r="D921" s="72"/>
      <c r="E921" s="72"/>
      <c r="F921" s="95"/>
      <c r="G921" s="378">
        <f t="shared" si="106"/>
        <v>0</v>
      </c>
      <c r="H921" s="38"/>
      <c r="I921" s="41"/>
      <c r="J921" s="41"/>
      <c r="K921" s="367"/>
      <c r="L921" s="520">
        <f t="shared" si="104"/>
      </c>
      <c r="M921" s="169"/>
      <c r="N921" s="199"/>
      <c r="O921" s="199"/>
    </row>
    <row r="922" spans="1:15" s="1" customFormat="1" ht="12.75">
      <c r="A922" s="224">
        <v>619081</v>
      </c>
      <c r="B922" s="9" t="s">
        <v>599</v>
      </c>
      <c r="C922" s="20"/>
      <c r="D922" s="72"/>
      <c r="E922" s="72"/>
      <c r="F922" s="95"/>
      <c r="G922" s="378">
        <f t="shared" si="106"/>
        <v>0</v>
      </c>
      <c r="H922" s="38"/>
      <c r="I922" s="41"/>
      <c r="J922" s="41"/>
      <c r="K922" s="367"/>
      <c r="L922" s="520">
        <f t="shared" si="104"/>
      </c>
      <c r="M922" s="169"/>
      <c r="N922" s="199"/>
      <c r="O922" s="199"/>
    </row>
    <row r="923" spans="1:15" s="1" customFormat="1" ht="12.75">
      <c r="A923" s="224">
        <v>619082</v>
      </c>
      <c r="B923" s="9" t="s">
        <v>600</v>
      </c>
      <c r="C923" s="20"/>
      <c r="D923" s="72"/>
      <c r="E923" s="72"/>
      <c r="F923" s="95"/>
      <c r="G923" s="378">
        <f t="shared" si="106"/>
        <v>0</v>
      </c>
      <c r="H923" s="38"/>
      <c r="I923" s="41"/>
      <c r="J923" s="41"/>
      <c r="K923" s="367"/>
      <c r="L923" s="520">
        <f t="shared" si="104"/>
      </c>
      <c r="M923" s="169"/>
      <c r="N923" s="199"/>
      <c r="O923" s="199"/>
    </row>
    <row r="924" spans="1:15" s="1" customFormat="1" ht="12.75">
      <c r="A924" s="224">
        <v>619083</v>
      </c>
      <c r="B924" s="9" t="s">
        <v>601</v>
      </c>
      <c r="C924" s="20"/>
      <c r="D924" s="72"/>
      <c r="E924" s="72"/>
      <c r="F924" s="95"/>
      <c r="G924" s="378">
        <f t="shared" si="106"/>
        <v>0</v>
      </c>
      <c r="H924" s="38"/>
      <c r="I924" s="41"/>
      <c r="J924" s="41"/>
      <c r="K924" s="367"/>
      <c r="L924" s="520">
        <f t="shared" si="104"/>
      </c>
      <c r="M924" s="169"/>
      <c r="N924" s="199"/>
      <c r="O924" s="199"/>
    </row>
    <row r="925" spans="1:15" s="1" customFormat="1" ht="12.75">
      <c r="A925" s="224">
        <v>619084</v>
      </c>
      <c r="B925" s="9" t="s">
        <v>602</v>
      </c>
      <c r="C925" s="20"/>
      <c r="D925" s="72"/>
      <c r="E925" s="72"/>
      <c r="F925" s="95"/>
      <c r="G925" s="378">
        <f t="shared" si="106"/>
        <v>0</v>
      </c>
      <c r="H925" s="38"/>
      <c r="I925" s="41"/>
      <c r="J925" s="41"/>
      <c r="K925" s="367"/>
      <c r="L925" s="520">
        <f t="shared" si="104"/>
      </c>
      <c r="M925" s="169"/>
      <c r="N925" s="199"/>
      <c r="O925" s="199"/>
    </row>
    <row r="926" spans="1:15" s="1" customFormat="1" ht="12.75">
      <c r="A926" s="224">
        <v>619085</v>
      </c>
      <c r="B926" s="9" t="s">
        <v>603</v>
      </c>
      <c r="C926" s="20"/>
      <c r="D926" s="72"/>
      <c r="E926" s="72"/>
      <c r="F926" s="95"/>
      <c r="G926" s="378">
        <f t="shared" si="106"/>
        <v>0</v>
      </c>
      <c r="H926" s="38"/>
      <c r="I926" s="41"/>
      <c r="J926" s="41"/>
      <c r="K926" s="367"/>
      <c r="L926" s="520">
        <f t="shared" si="104"/>
      </c>
      <c r="M926" s="169"/>
      <c r="N926" s="199"/>
      <c r="O926" s="199"/>
    </row>
    <row r="927" spans="1:15" s="1" customFormat="1" ht="12.75">
      <c r="A927" s="224">
        <v>619090</v>
      </c>
      <c r="B927" s="9" t="s">
        <v>604</v>
      </c>
      <c r="C927" s="20"/>
      <c r="D927" s="72"/>
      <c r="E927" s="72"/>
      <c r="F927" s="95"/>
      <c r="G927" s="378">
        <f t="shared" si="106"/>
        <v>0</v>
      </c>
      <c r="H927" s="38"/>
      <c r="I927" s="41"/>
      <c r="J927" s="41"/>
      <c r="K927" s="367"/>
      <c r="L927" s="520">
        <f t="shared" si="104"/>
      </c>
      <c r="M927" s="169"/>
      <c r="N927" s="199"/>
      <c r="O927" s="199"/>
    </row>
    <row r="928" spans="1:15" s="1" customFormat="1" ht="12.75">
      <c r="A928" s="224">
        <v>619093</v>
      </c>
      <c r="B928" s="9" t="s">
        <v>569</v>
      </c>
      <c r="C928" s="20"/>
      <c r="D928" s="72"/>
      <c r="E928" s="72"/>
      <c r="F928" s="95"/>
      <c r="G928" s="378">
        <f t="shared" si="106"/>
        <v>0</v>
      </c>
      <c r="H928" s="38"/>
      <c r="I928" s="41"/>
      <c r="J928" s="41"/>
      <c r="K928" s="367"/>
      <c r="L928" s="520">
        <f t="shared" si="104"/>
      </c>
      <c r="M928" s="169"/>
      <c r="N928" s="199"/>
      <c r="O928" s="199"/>
    </row>
    <row r="929" spans="1:15" s="1" customFormat="1" ht="12.75">
      <c r="A929" s="224">
        <v>619098</v>
      </c>
      <c r="B929" s="218" t="s">
        <v>25</v>
      </c>
      <c r="C929" s="219"/>
      <c r="D929" s="220"/>
      <c r="E929" s="220"/>
      <c r="F929" s="221"/>
      <c r="G929" s="379">
        <f t="shared" si="106"/>
        <v>0</v>
      </c>
      <c r="H929" s="38"/>
      <c r="I929" s="41"/>
      <c r="J929" s="41"/>
      <c r="K929" s="367"/>
      <c r="L929" s="520">
        <f t="shared" si="104"/>
      </c>
      <c r="M929" s="169"/>
      <c r="N929" s="199"/>
      <c r="O929" s="199"/>
    </row>
    <row r="930" spans="1:15" s="1" customFormat="1" ht="13.5" thickBot="1">
      <c r="A930" s="231" t="s">
        <v>401</v>
      </c>
      <c r="B930" s="6"/>
      <c r="C930" s="22"/>
      <c r="D930" s="44"/>
      <c r="E930" s="71"/>
      <c r="F930" s="90" t="s">
        <v>570</v>
      </c>
      <c r="G930" s="383">
        <f>SUM(G874:G929)</f>
        <v>0</v>
      </c>
      <c r="H930" s="38"/>
      <c r="I930" s="44"/>
      <c r="J930" s="44"/>
      <c r="K930" s="366"/>
      <c r="L930" s="383">
        <f>SUM(L874:L929)</f>
        <v>0</v>
      </c>
      <c r="M930" s="169"/>
      <c r="N930" s="199"/>
      <c r="O930" s="199"/>
    </row>
    <row r="931" spans="1:15" s="1" customFormat="1" ht="0.75" customHeight="1" thickTop="1">
      <c r="A931" s="226"/>
      <c r="C931" s="21"/>
      <c r="D931" s="48"/>
      <c r="E931" s="64"/>
      <c r="F931" s="35"/>
      <c r="G931" s="41"/>
      <c r="H931" s="38"/>
      <c r="I931" s="41"/>
      <c r="J931" s="41"/>
      <c r="K931" s="366"/>
      <c r="L931" s="516"/>
      <c r="M931" s="169"/>
      <c r="N931" s="199"/>
      <c r="O931" s="199"/>
    </row>
    <row r="932" spans="1:15" s="1" customFormat="1" ht="24.75" customHeight="1" thickTop="1">
      <c r="A932" s="228" t="s">
        <v>538</v>
      </c>
      <c r="C932" s="21"/>
      <c r="D932" s="171" t="s">
        <v>422</v>
      </c>
      <c r="E932" s="172" t="s">
        <v>423</v>
      </c>
      <c r="F932" s="171" t="s">
        <v>424</v>
      </c>
      <c r="G932" s="171" t="s">
        <v>425</v>
      </c>
      <c r="H932" s="38"/>
      <c r="I932" s="41"/>
      <c r="J932" s="41"/>
      <c r="K932" s="366"/>
      <c r="L932" s="518"/>
      <c r="M932" s="169"/>
      <c r="N932" s="199"/>
      <c r="O932" s="199"/>
    </row>
    <row r="933" spans="1:15" s="1" customFormat="1" ht="12.75">
      <c r="A933" s="224">
        <v>628699</v>
      </c>
      <c r="B933" s="218" t="s">
        <v>382</v>
      </c>
      <c r="C933" s="599">
        <f>IF(H2&gt;F933,F933/(H2-F933),"")</f>
      </c>
      <c r="D933" s="220"/>
      <c r="E933" s="220"/>
      <c r="F933" s="221"/>
      <c r="G933" s="379">
        <f>IF(X=0,(IF(Me=0,Sa,Me*Sa)),(IF(Me=0,Sa*X,Me*X*Sa)))</f>
        <v>0</v>
      </c>
      <c r="H933" s="38"/>
      <c r="I933" s="41"/>
      <c r="J933" s="41"/>
      <c r="K933" s="366"/>
      <c r="L933" s="522"/>
      <c r="M933" s="169"/>
      <c r="N933" s="199"/>
      <c r="O933" s="199"/>
    </row>
    <row r="934" spans="1:15" s="1" customFormat="1" ht="13.5" thickBot="1">
      <c r="A934" s="231" t="s">
        <v>401</v>
      </c>
      <c r="B934" s="6"/>
      <c r="C934" s="22"/>
      <c r="D934" s="44"/>
      <c r="E934" s="71"/>
      <c r="F934" s="90" t="s">
        <v>570</v>
      </c>
      <c r="G934" s="383">
        <f>SUM(G933:G933)</f>
        <v>0</v>
      </c>
      <c r="H934" s="38"/>
      <c r="I934" s="44"/>
      <c r="J934" s="44"/>
      <c r="K934" s="366"/>
      <c r="L934" s="522"/>
      <c r="M934" s="169"/>
      <c r="N934" s="199"/>
      <c r="O934" s="199"/>
    </row>
    <row r="935" spans="1:15" s="1" customFormat="1" ht="0.75" customHeight="1" thickTop="1">
      <c r="A935" s="226"/>
      <c r="B935" s="4"/>
      <c r="C935" s="21"/>
      <c r="D935" s="49"/>
      <c r="E935" s="75"/>
      <c r="F935" s="49"/>
      <c r="G935" s="41"/>
      <c r="H935" s="38"/>
      <c r="I935" s="44"/>
      <c r="J935" s="44"/>
      <c r="K935" s="366"/>
      <c r="L935" s="522"/>
      <c r="M935" s="169"/>
      <c r="N935" s="199"/>
      <c r="O935" s="199"/>
    </row>
    <row r="936" spans="1:15" s="1" customFormat="1" ht="0.75" customHeight="1">
      <c r="A936" s="232"/>
      <c r="B936" s="2"/>
      <c r="C936" s="21"/>
      <c r="D936" s="48"/>
      <c r="E936" s="64"/>
      <c r="F936" s="35"/>
      <c r="G936" s="41"/>
      <c r="H936" s="33"/>
      <c r="I936" s="44"/>
      <c r="J936" s="44"/>
      <c r="K936" s="366"/>
      <c r="L936" s="522"/>
      <c r="M936" s="169"/>
      <c r="N936" s="199"/>
      <c r="O936" s="199"/>
    </row>
    <row r="937" spans="1:15" s="1" customFormat="1" ht="13.5" thickTop="1">
      <c r="A937" s="233"/>
      <c r="C937" s="21"/>
      <c r="D937" s="48"/>
      <c r="E937" s="64"/>
      <c r="F937" s="35"/>
      <c r="G937" s="41"/>
      <c r="H937" s="33"/>
      <c r="I937" s="44"/>
      <c r="J937" s="44"/>
      <c r="K937" s="366"/>
      <c r="L937" s="522"/>
      <c r="M937" s="169"/>
      <c r="N937" s="199"/>
      <c r="O937" s="199"/>
    </row>
    <row r="938" spans="1:15" s="1" customFormat="1" ht="12.75">
      <c r="A938" s="233"/>
      <c r="C938" s="21"/>
      <c r="D938" s="48"/>
      <c r="E938" s="64"/>
      <c r="F938" s="35"/>
      <c r="G938" s="41"/>
      <c r="H938" s="33"/>
      <c r="I938" s="44"/>
      <c r="J938" s="44"/>
      <c r="K938" s="366"/>
      <c r="L938" s="522"/>
      <c r="M938" s="169"/>
      <c r="N938" s="199"/>
      <c r="O938" s="199"/>
    </row>
    <row r="939" spans="1:15" s="1" customFormat="1" ht="12.75">
      <c r="A939" s="233"/>
      <c r="C939" s="21"/>
      <c r="D939" s="48"/>
      <c r="E939" s="64"/>
      <c r="F939" s="35"/>
      <c r="G939" s="41"/>
      <c r="H939" s="33"/>
      <c r="I939" s="44"/>
      <c r="J939" s="44"/>
      <c r="K939" s="366"/>
      <c r="L939" s="522"/>
      <c r="M939" s="169"/>
      <c r="N939" s="199"/>
      <c r="O939" s="199"/>
    </row>
    <row r="940" spans="1:15" s="1" customFormat="1" ht="12.75">
      <c r="A940" s="233"/>
      <c r="C940" s="21"/>
      <c r="D940" s="48"/>
      <c r="E940" s="64"/>
      <c r="F940" s="35"/>
      <c r="G940" s="41"/>
      <c r="H940" s="33"/>
      <c r="I940" s="44"/>
      <c r="J940" s="44"/>
      <c r="K940" s="366"/>
      <c r="L940" s="522"/>
      <c r="M940" s="169"/>
      <c r="N940" s="199"/>
      <c r="O940" s="199"/>
    </row>
    <row r="941" spans="1:15" s="1" customFormat="1" ht="12.75">
      <c r="A941" s="233" t="s">
        <v>401</v>
      </c>
      <c r="C941" s="21"/>
      <c r="D941" s="48"/>
      <c r="E941" s="64"/>
      <c r="F941" s="35"/>
      <c r="G941" s="41"/>
      <c r="H941" s="33"/>
      <c r="I941" s="44"/>
      <c r="J941" s="44"/>
      <c r="K941" s="366"/>
      <c r="L941" s="516"/>
      <c r="M941" s="169"/>
      <c r="N941" s="199"/>
      <c r="O941" s="199"/>
    </row>
    <row r="942" spans="1:15" ht="12.75">
      <c r="A942" s="234"/>
      <c r="B942" s="91"/>
      <c r="C942" s="91"/>
      <c r="D942" s="91"/>
      <c r="E942" s="91"/>
      <c r="F942" s="91"/>
      <c r="G942" s="91"/>
      <c r="H942" s="91"/>
      <c r="I942" s="91"/>
      <c r="J942" s="91"/>
      <c r="K942" s="366"/>
      <c r="L942" s="523"/>
      <c r="M942" s="169"/>
      <c r="N942" s="199"/>
      <c r="O942" s="199"/>
    </row>
    <row r="943" spans="1:15" ht="189.75" customHeight="1">
      <c r="A943" s="225"/>
      <c r="B943" s="149"/>
      <c r="C943" s="149"/>
      <c r="D943" s="149"/>
      <c r="E943" s="149"/>
      <c r="F943" s="149"/>
      <c r="G943" s="149"/>
      <c r="H943" s="149"/>
      <c r="I943" s="149"/>
      <c r="J943" s="149"/>
      <c r="K943" s="365"/>
      <c r="L943" s="514"/>
      <c r="M943" s="149"/>
      <c r="N943" s="149"/>
      <c r="O943" s="149"/>
    </row>
  </sheetData>
  <sheetProtection sheet="1" objects="1" scenarios="1"/>
  <mergeCells count="1">
    <mergeCell ref="H2:I2"/>
  </mergeCells>
  <conditionalFormatting sqref="K874:K929 K775:K795 K828:K870 K514:K537 K644:K664 K668:K707 K799:K824 K541:K558 K586:K640 K711:K732 K562:K582 K736:K771 K239:K261 K265:K332 K375:K401 K438:K468 K36:K99 K154:K235 K103:K150 K405:K434 K8:K32 K472:K510 K336:K371">
    <cfRule type="expression" priority="1" dxfId="0" stopIfTrue="1">
      <formula>KALKYLE!#REF!=mva</formula>
    </cfRule>
  </conditionalFormatting>
  <dataValidations count="4">
    <dataValidation type="custom" allowBlank="1" showInputMessage="1" showErrorMessage="1" error="Du har allerede lagt inn MVA på denne posten!&#10;&#10;Slette eventuelt mva i X kolonnen." sqref="K20 K239:K261 K265:K332 K375:K401 K438:K468 K40:K99 K154:K235 K405:K434 K103:K150 K472:K510 K336:K371 K736:K771 K562:K582 K711:K732 K586:K640 K541:K558 K799:K824 K668:K707 K644:K664 K514:K537 K775:K795 K828:K870 K874:K929">
      <formula1>X&lt;&gt;mva</formula1>
    </dataValidation>
    <dataValidation errorStyle="information" type="custom" allowBlank="1" showInputMessage="1" showErrorMessage="1" errorTitle="ADVARSEL" error="Det er allerede krysset av for MVA på denne posten.&#10;&#10;Om du likevel vil legge inn noe her, velg &quot; OK&quot;" sqref="E103:E150 E239:E261 E265:E332 E375:E401 E438:E468 E36:E99 E154:E235 E405:E434 E8:E32 E472:E510 E336:E371 E736:E771 E562:E582 E711:E732 E586:E640 E541:E558 E799:E824 E668:E707 E664 E662 E654:E660 E644:E649 E514:E537 E828:E870 E775:E795 E874:E929">
      <formula1>KALKYLE!K103=""</formula1>
    </dataValidation>
    <dataValidation type="custom" allowBlank="1" showInputMessage="1" showErrorMessage="1" errorTitle="ADVARSEL" error="Du har allerede lagt inn MVA på denne posten!&#10;&#10;Slett eventuelt MVA i X kolonnen." sqref="K21:K32 K36:K39 K8:K19">
      <formula1>X&lt;&gt;mva</formula1>
    </dataValidation>
    <dataValidation allowBlank="1" showInputMessage="1" showErrorMessage="1" error="Du kan kun legge inn tall her!" sqref="D16"/>
  </dataValidations>
  <printOptions/>
  <pageMargins left="0.5905511811023623" right="0.15748031496062992" top="0.5905511811023623" bottom="0.5905511811023623" header="0.2362204724409449" footer="0.15748031496062992"/>
  <pageSetup blackAndWhite="1" fitToHeight="0" fitToWidth="1" horizontalDpi="600" verticalDpi="600" orientation="portrait" paperSize="9"/>
  <headerFooter alignWithMargins="0">
    <oddFooter>&amp;L&amp;6Norsk filminstitutt filmkalkyle v. 8 av 20.03.13&amp;C&amp;"Arial,Normal"&amp;5Utskrevet: &amp;D &amp; kl.&amp;T&amp;R&amp;"Arial,Normal"&amp;6   Side &amp;P av &amp;N</oddFooter>
  </headerFooter>
  <rowBreaks count="17" manualBreakCount="17">
    <brk id="34" max="11" man="1"/>
    <brk id="101" max="11" man="1"/>
    <brk id="152" max="11" man="1"/>
    <brk id="263" max="11" man="1"/>
    <brk id="373" max="11" man="1"/>
    <brk id="403" max="11" man="1"/>
    <brk id="436" max="11" man="1"/>
    <brk id="470" max="11" man="1"/>
    <brk id="512" max="11" man="1"/>
    <brk id="560" max="11" man="1"/>
    <brk id="584" max="11" man="1"/>
    <brk id="666" max="11" man="1"/>
    <brk id="709" max="11" man="1"/>
    <brk id="734" max="11" man="1"/>
    <brk id="773" max="11" man="1"/>
    <brk id="826" max="11" man="1"/>
    <brk id="872" max="11" man="1"/>
  </rowBreaks>
  <legacyDrawing r:id="rId2"/>
</worksheet>
</file>

<file path=xl/worksheets/sheet7.xml><?xml version="1.0" encoding="utf-8"?>
<worksheet xmlns="http://schemas.openxmlformats.org/spreadsheetml/2006/main" xmlns:r="http://schemas.openxmlformats.org/officeDocument/2006/relationships">
  <sheetPr codeName="Ark12"/>
  <dimension ref="A1:L148"/>
  <sheetViews>
    <sheetView showGridLines="0" showRowColHeaders="0" showZeros="0" showOutlineSymbols="0" workbookViewId="0" topLeftCell="A1">
      <pane ySplit="1" topLeftCell="BM2" activePane="bottomLeft" state="frozen"/>
      <selection pane="topLeft" activeCell="A1" sqref="A1"/>
      <selection pane="bottomLeft" activeCell="A1" sqref="A1"/>
    </sheetView>
  </sheetViews>
  <sheetFormatPr defaultColWidth="11.421875" defaultRowHeight="12.75"/>
  <cols>
    <col min="1" max="1" width="6.7109375" style="0" customWidth="1"/>
    <col min="2" max="2" width="42.7109375" style="0" customWidth="1"/>
    <col min="3" max="3" width="6.7109375" style="0" customWidth="1"/>
    <col min="4" max="4" width="4.28125" style="0" customWidth="1"/>
    <col min="5" max="5" width="6.7109375" style="0" customWidth="1"/>
    <col min="6" max="6" width="7.7109375" style="0" customWidth="1"/>
    <col min="7" max="8" width="1.7109375" style="0" customWidth="1"/>
    <col min="9" max="9" width="8.28125" style="0" customWidth="1"/>
    <col min="10" max="10" width="2.7109375" style="0" customWidth="1"/>
    <col min="11" max="11" width="77.421875" style="0" customWidth="1"/>
  </cols>
  <sheetData>
    <row r="1" spans="1:12" ht="20.25" customHeight="1">
      <c r="A1" s="215" t="s">
        <v>655</v>
      </c>
      <c r="B1" s="199"/>
      <c r="C1" s="199"/>
      <c r="D1" s="199"/>
      <c r="E1" s="199"/>
      <c r="H1" s="199"/>
      <c r="I1" s="199"/>
      <c r="J1" s="199"/>
      <c r="K1" s="199"/>
      <c r="L1" s="199"/>
    </row>
    <row r="2" spans="11:12" ht="12.75">
      <c r="K2" s="199"/>
      <c r="L2" s="199"/>
    </row>
    <row r="3" spans="1:12" ht="12.75">
      <c r="A3" s="224">
        <v>449070</v>
      </c>
      <c r="B3" t="s">
        <v>411</v>
      </c>
      <c r="C3" s="33" t="s">
        <v>422</v>
      </c>
      <c r="D3" s="65" t="s">
        <v>423</v>
      </c>
      <c r="E3" s="33" t="s">
        <v>424</v>
      </c>
      <c r="F3" s="33" t="s">
        <v>425</v>
      </c>
      <c r="G3" s="33"/>
      <c r="I3" s="293" t="s">
        <v>688</v>
      </c>
      <c r="J3" s="54"/>
      <c r="K3" s="199"/>
      <c r="L3" s="199"/>
    </row>
    <row r="4" spans="1:12" s="1" customFormat="1" ht="12.75">
      <c r="A4" s="246"/>
      <c r="B4" s="213"/>
      <c r="C4" s="40"/>
      <c r="D4" s="72"/>
      <c r="E4" s="204"/>
      <c r="F4" s="96">
        <f>IF(D4=0,(IF(C4=0,E4,C4*E4)),(IF(C4=0,E4*D4,C4*D4*E4)))</f>
        <v>0</v>
      </c>
      <c r="G4" s="41"/>
      <c r="H4" s="367"/>
      <c r="I4" s="175">
        <f aca="true" t="shared" si="0" ref="I4:I23">IF(H4&lt;&gt;"",(F4*mvalav)-F4,"")</f>
      </c>
      <c r="J4" s="288"/>
      <c r="K4" s="199"/>
      <c r="L4" s="199"/>
    </row>
    <row r="5" spans="1:12" s="1" customFormat="1" ht="12.75">
      <c r="A5" s="246"/>
      <c r="B5" s="213"/>
      <c r="C5" s="40"/>
      <c r="D5" s="72"/>
      <c r="E5" s="204"/>
      <c r="F5" s="97">
        <f>IF(D5=0,(IF(C5=0,E5,C5*E5)),(IF(C5=0,E5*D5,C5*D5*E5)))</f>
        <v>0</v>
      </c>
      <c r="G5" s="41"/>
      <c r="H5" s="367"/>
      <c r="I5" s="175">
        <f t="shared" si="0"/>
      </c>
      <c r="J5" s="288"/>
      <c r="K5" s="199"/>
      <c r="L5" s="199"/>
    </row>
    <row r="6" spans="1:12" s="1" customFormat="1" ht="12.75">
      <c r="A6" s="246"/>
      <c r="B6" s="213"/>
      <c r="C6" s="40"/>
      <c r="D6" s="72"/>
      <c r="E6" s="204"/>
      <c r="F6" s="97">
        <f>IF(D6=0,(IF(C6=0,E6,C6*E6)),(IF(C6=0,E6*D6,C6*D6*E6)))</f>
        <v>0</v>
      </c>
      <c r="G6" s="41"/>
      <c r="H6" s="367"/>
      <c r="I6" s="175">
        <f t="shared" si="0"/>
      </c>
      <c r="J6" s="288"/>
      <c r="K6" s="199"/>
      <c r="L6" s="199"/>
    </row>
    <row r="7" spans="1:12" s="1" customFormat="1" ht="12.75">
      <c r="A7" s="246"/>
      <c r="B7" s="213"/>
      <c r="C7" s="40"/>
      <c r="D7" s="72"/>
      <c r="E7" s="204"/>
      <c r="F7" s="97">
        <f>IF(D7=0,(IF(C7=0,E7,C7*E7)),(IF(C7=0,E7*D7,C7*D7*E7)))</f>
        <v>0</v>
      </c>
      <c r="G7" s="41"/>
      <c r="H7" s="367"/>
      <c r="I7" s="175">
        <f t="shared" si="0"/>
      </c>
      <c r="J7" s="288"/>
      <c r="K7" s="199"/>
      <c r="L7" s="199"/>
    </row>
    <row r="8" spans="1:12" s="1" customFormat="1" ht="12.75">
      <c r="A8" s="246"/>
      <c r="B8" s="213"/>
      <c r="C8" s="40"/>
      <c r="D8" s="72"/>
      <c r="E8" s="204"/>
      <c r="F8" s="97">
        <f aca="true" t="shared" si="1" ref="F8:F15">IF(D8=0,(IF(C8=0,E8,C8*E8)),(IF(C8=0,E8*D8,C8*D8*E8)))</f>
        <v>0</v>
      </c>
      <c r="G8" s="41"/>
      <c r="H8" s="367"/>
      <c r="I8" s="175">
        <f t="shared" si="0"/>
      </c>
      <c r="J8" s="288"/>
      <c r="K8" s="199"/>
      <c r="L8" s="199"/>
    </row>
    <row r="9" spans="1:12" s="1" customFormat="1" ht="12.75">
      <c r="A9" s="246"/>
      <c r="B9" s="213"/>
      <c r="C9" s="40"/>
      <c r="D9" s="72"/>
      <c r="E9" s="204"/>
      <c r="F9" s="97">
        <f t="shared" si="1"/>
        <v>0</v>
      </c>
      <c r="G9" s="41"/>
      <c r="H9" s="367"/>
      <c r="I9" s="175">
        <f t="shared" si="0"/>
      </c>
      <c r="J9" s="288"/>
      <c r="K9" s="199"/>
      <c r="L9" s="199"/>
    </row>
    <row r="10" spans="1:12" s="1" customFormat="1" ht="12.75">
      <c r="A10" s="246"/>
      <c r="B10" s="213"/>
      <c r="C10" s="40"/>
      <c r="D10" s="72"/>
      <c r="E10" s="204"/>
      <c r="F10" s="97">
        <f>IF(D10=0,(IF(C10=0,E10,C10*E10)),(IF(C10=0,E10*D10,C10*D10*E10)))</f>
        <v>0</v>
      </c>
      <c r="G10" s="41"/>
      <c r="H10" s="367"/>
      <c r="I10" s="175">
        <f t="shared" si="0"/>
      </c>
      <c r="J10" s="288"/>
      <c r="K10" s="199"/>
      <c r="L10" s="199"/>
    </row>
    <row r="11" spans="1:12" s="1" customFormat="1" ht="12.75">
      <c r="A11" s="246"/>
      <c r="B11" s="213"/>
      <c r="C11" s="72"/>
      <c r="D11" s="72"/>
      <c r="E11" s="204"/>
      <c r="F11" s="97">
        <f>IF(D11=0,(IF(C11=0,E11,C11*E11)),(IF(C11=0,E11*D11,C11*D11*E11)))</f>
        <v>0</v>
      </c>
      <c r="G11" s="41"/>
      <c r="H11" s="367"/>
      <c r="I11" s="175">
        <f t="shared" si="0"/>
      </c>
      <c r="J11" s="288"/>
      <c r="K11" s="199"/>
      <c r="L11" s="199"/>
    </row>
    <row r="12" spans="1:12" s="1" customFormat="1" ht="12.75">
      <c r="A12" s="246"/>
      <c r="B12" s="213"/>
      <c r="C12" s="72"/>
      <c r="D12" s="72"/>
      <c r="E12" s="204"/>
      <c r="F12" s="97">
        <f>IF(D12=0,(IF(C12=0,E12,C12*E12)),(IF(C12=0,E12*D12,C12*D12*E12)))</f>
        <v>0</v>
      </c>
      <c r="G12" s="41"/>
      <c r="H12" s="367"/>
      <c r="I12" s="175">
        <f t="shared" si="0"/>
      </c>
      <c r="J12" s="288"/>
      <c r="K12" s="199"/>
      <c r="L12" s="199"/>
    </row>
    <row r="13" spans="1:12" s="1" customFormat="1" ht="12.75">
      <c r="A13" s="246"/>
      <c r="B13" s="213"/>
      <c r="C13" s="72"/>
      <c r="D13" s="72"/>
      <c r="E13" s="204"/>
      <c r="F13" s="97">
        <f t="shared" si="1"/>
        <v>0</v>
      </c>
      <c r="G13" s="41"/>
      <c r="H13" s="367"/>
      <c r="I13" s="175">
        <f t="shared" si="0"/>
      </c>
      <c r="J13" s="288"/>
      <c r="K13" s="199"/>
      <c r="L13" s="199"/>
    </row>
    <row r="14" spans="1:12" s="1" customFormat="1" ht="12.75">
      <c r="A14" s="246"/>
      <c r="B14" s="213"/>
      <c r="C14" s="72"/>
      <c r="D14" s="72"/>
      <c r="E14" s="204"/>
      <c r="F14" s="97">
        <f t="shared" si="1"/>
        <v>0</v>
      </c>
      <c r="G14" s="41"/>
      <c r="H14" s="367"/>
      <c r="I14" s="175">
        <f t="shared" si="0"/>
      </c>
      <c r="J14" s="288"/>
      <c r="K14" s="199"/>
      <c r="L14" s="199"/>
    </row>
    <row r="15" spans="1:12" s="1" customFormat="1" ht="12.75">
      <c r="A15" s="246"/>
      <c r="B15" s="213"/>
      <c r="C15" s="72"/>
      <c r="D15" s="72"/>
      <c r="E15" s="204"/>
      <c r="F15" s="97">
        <f t="shared" si="1"/>
        <v>0</v>
      </c>
      <c r="G15" s="41"/>
      <c r="H15" s="367"/>
      <c r="I15" s="175">
        <f t="shared" si="0"/>
      </c>
      <c r="J15" s="288"/>
      <c r="K15" s="199"/>
      <c r="L15" s="199"/>
    </row>
    <row r="16" spans="1:12" s="1" customFormat="1" ht="12.75">
      <c r="A16" s="246"/>
      <c r="B16" s="213"/>
      <c r="C16" s="72"/>
      <c r="D16" s="72"/>
      <c r="E16" s="204"/>
      <c r="F16" s="97">
        <f aca="true" t="shared" si="2" ref="F16:F23">IF(D16=0,(IF(C16=0,E16,C16*E16)),(IF(C16=0,E16*D16,C16*D16*E16)))</f>
        <v>0</v>
      </c>
      <c r="G16" s="41"/>
      <c r="H16" s="367"/>
      <c r="I16" s="175">
        <f t="shared" si="0"/>
      </c>
      <c r="J16" s="288"/>
      <c r="K16" s="199"/>
      <c r="L16" s="199"/>
    </row>
    <row r="17" spans="1:12" s="1" customFormat="1" ht="12.75">
      <c r="A17" s="246"/>
      <c r="B17" s="213"/>
      <c r="C17" s="72"/>
      <c r="D17" s="72"/>
      <c r="E17" s="204"/>
      <c r="F17" s="97">
        <f t="shared" si="2"/>
        <v>0</v>
      </c>
      <c r="G17" s="41"/>
      <c r="H17" s="367"/>
      <c r="I17" s="175">
        <f t="shared" si="0"/>
      </c>
      <c r="J17" s="288"/>
      <c r="K17" s="199"/>
      <c r="L17" s="199"/>
    </row>
    <row r="18" spans="1:12" s="1" customFormat="1" ht="12.75">
      <c r="A18" s="246"/>
      <c r="B18" s="213"/>
      <c r="C18" s="72"/>
      <c r="D18" s="72"/>
      <c r="E18" s="204"/>
      <c r="F18" s="97">
        <f t="shared" si="2"/>
        <v>0</v>
      </c>
      <c r="G18" s="41"/>
      <c r="H18" s="367"/>
      <c r="I18" s="175">
        <f t="shared" si="0"/>
      </c>
      <c r="J18" s="288"/>
      <c r="K18" s="199"/>
      <c r="L18" s="199"/>
    </row>
    <row r="19" spans="1:12" s="1" customFormat="1" ht="12.75">
      <c r="A19" s="246"/>
      <c r="B19" s="213"/>
      <c r="C19" s="72"/>
      <c r="D19" s="72"/>
      <c r="E19" s="204"/>
      <c r="F19" s="97">
        <f t="shared" si="2"/>
        <v>0</v>
      </c>
      <c r="G19" s="41"/>
      <c r="H19" s="367"/>
      <c r="I19" s="175">
        <f t="shared" si="0"/>
      </c>
      <c r="J19" s="288"/>
      <c r="K19" s="199"/>
      <c r="L19" s="199"/>
    </row>
    <row r="20" spans="1:12" s="1" customFormat="1" ht="12.75">
      <c r="A20" s="246"/>
      <c r="B20" s="213"/>
      <c r="C20" s="72"/>
      <c r="D20" s="72"/>
      <c r="E20" s="204"/>
      <c r="F20" s="97">
        <f t="shared" si="2"/>
        <v>0</v>
      </c>
      <c r="G20" s="41"/>
      <c r="H20" s="367"/>
      <c r="I20" s="175">
        <f t="shared" si="0"/>
      </c>
      <c r="J20" s="288"/>
      <c r="K20" s="199"/>
      <c r="L20" s="199"/>
    </row>
    <row r="21" spans="1:12" s="1" customFormat="1" ht="12.75">
      <c r="A21" s="246"/>
      <c r="B21" s="213"/>
      <c r="C21" s="72"/>
      <c r="D21" s="72"/>
      <c r="E21" s="204"/>
      <c r="F21" s="97">
        <f t="shared" si="2"/>
        <v>0</v>
      </c>
      <c r="G21" s="41"/>
      <c r="H21" s="367"/>
      <c r="I21" s="175">
        <f t="shared" si="0"/>
      </c>
      <c r="J21" s="288"/>
      <c r="K21" s="199"/>
      <c r="L21" s="199"/>
    </row>
    <row r="22" spans="1:12" s="1" customFormat="1" ht="12.75">
      <c r="A22" s="246"/>
      <c r="B22" s="213"/>
      <c r="C22" s="72"/>
      <c r="D22" s="72"/>
      <c r="E22" s="204"/>
      <c r="F22" s="97">
        <f t="shared" si="2"/>
        <v>0</v>
      </c>
      <c r="G22" s="41"/>
      <c r="H22" s="367"/>
      <c r="I22" s="175">
        <f t="shared" si="0"/>
      </c>
      <c r="J22" s="288"/>
      <c r="K22" s="199"/>
      <c r="L22" s="199"/>
    </row>
    <row r="23" spans="1:12" s="1" customFormat="1" ht="12.75">
      <c r="A23" s="246"/>
      <c r="B23" s="213"/>
      <c r="C23" s="72"/>
      <c r="D23" s="72"/>
      <c r="E23" s="204"/>
      <c r="F23" s="209">
        <f t="shared" si="2"/>
        <v>0</v>
      </c>
      <c r="G23" s="41"/>
      <c r="H23" s="367"/>
      <c r="I23" s="175">
        <f t="shared" si="0"/>
      </c>
      <c r="J23" s="288"/>
      <c r="K23" s="199"/>
      <c r="L23" s="199"/>
    </row>
    <row r="24" spans="1:12" s="1" customFormat="1" ht="13.5" thickBot="1">
      <c r="A24" s="57" t="s">
        <v>652</v>
      </c>
      <c r="B24" s="2"/>
      <c r="C24" s="48"/>
      <c r="D24" s="64"/>
      <c r="E24" s="35" t="s">
        <v>570</v>
      </c>
      <c r="F24" s="208">
        <f>SUM(F4:F23)</f>
        <v>0</v>
      </c>
      <c r="G24" s="41"/>
      <c r="H24" s="369"/>
      <c r="I24" s="202">
        <f>SUM(I4:I23)</f>
        <v>0</v>
      </c>
      <c r="J24" s="41"/>
      <c r="K24" s="199"/>
      <c r="L24" s="199"/>
    </row>
    <row r="25" spans="1:12" s="1" customFormat="1" ht="13.5" thickTop="1">
      <c r="A25" s="57"/>
      <c r="B25" s="2"/>
      <c r="C25" s="48"/>
      <c r="D25" s="64"/>
      <c r="E25" s="35"/>
      <c r="F25" s="41"/>
      <c r="G25" s="41"/>
      <c r="I25" s="41"/>
      <c r="J25" s="41"/>
      <c r="K25" s="199"/>
      <c r="L25" s="199"/>
    </row>
    <row r="26" spans="11:12" ht="12.75">
      <c r="K26" s="199"/>
      <c r="L26" s="199"/>
    </row>
    <row r="27" spans="1:12" ht="12.75">
      <c r="A27" s="224">
        <v>449072</v>
      </c>
      <c r="B27" t="s">
        <v>412</v>
      </c>
      <c r="C27" s="33" t="s">
        <v>422</v>
      </c>
      <c r="D27" s="65" t="s">
        <v>423</v>
      </c>
      <c r="E27" s="33" t="s">
        <v>424</v>
      </c>
      <c r="F27" s="33" t="s">
        <v>425</v>
      </c>
      <c r="G27" s="33"/>
      <c r="K27" s="199"/>
      <c r="L27" s="199"/>
    </row>
    <row r="28" spans="1:12" s="1" customFormat="1" ht="12.75">
      <c r="A28" s="246"/>
      <c r="B28" s="213"/>
      <c r="C28" s="72"/>
      <c r="D28" s="72"/>
      <c r="E28" s="204"/>
      <c r="F28" s="96">
        <f>IF(D28=0,(IF(C28=0,E28,C28*E28)),(IF(C28=0,E28*D28,C28*D28*E28)))</f>
        <v>0</v>
      </c>
      <c r="G28" s="41"/>
      <c r="H28" s="367"/>
      <c r="I28" s="175">
        <f>IF(H28&lt;&gt;"",(F28*mva)-F28,"")</f>
      </c>
      <c r="J28" s="288"/>
      <c r="K28" s="199"/>
      <c r="L28" s="199"/>
    </row>
    <row r="29" spans="1:12" s="1" customFormat="1" ht="12.75">
      <c r="A29" s="246"/>
      <c r="B29" s="213"/>
      <c r="C29" s="72"/>
      <c r="D29" s="72"/>
      <c r="E29" s="204"/>
      <c r="F29" s="97">
        <f aca="true" t="shared" si="3" ref="F29:F47">IF(D29=0,(IF(C29=0,E29,C29*E29)),(IF(C29=0,E29*D29,C29*D29*E29)))</f>
        <v>0</v>
      </c>
      <c r="G29" s="41"/>
      <c r="H29" s="367"/>
      <c r="I29" s="175">
        <f aca="true" t="shared" si="4" ref="I29:I47">IF(H29&lt;&gt;"",(F29*mva)-F29,"")</f>
      </c>
      <c r="J29" s="288"/>
      <c r="K29" s="199"/>
      <c r="L29" s="199"/>
    </row>
    <row r="30" spans="1:12" s="1" customFormat="1" ht="12.75">
      <c r="A30" s="246"/>
      <c r="B30" s="213"/>
      <c r="C30" s="72"/>
      <c r="D30" s="72"/>
      <c r="E30" s="204"/>
      <c r="F30" s="97">
        <f aca="true" t="shared" si="5" ref="F30:F39">IF(D30=0,(IF(C30=0,E30,C30*E30)),(IF(C30=0,E30*D30,C30*D30*E30)))</f>
        <v>0</v>
      </c>
      <c r="G30" s="41"/>
      <c r="H30" s="367"/>
      <c r="I30" s="175">
        <f t="shared" si="4"/>
      </c>
      <c r="J30" s="288"/>
      <c r="K30" s="199"/>
      <c r="L30" s="199"/>
    </row>
    <row r="31" spans="1:12" s="1" customFormat="1" ht="12.75">
      <c r="A31" s="246"/>
      <c r="B31" s="213"/>
      <c r="C31" s="72"/>
      <c r="D31" s="72"/>
      <c r="E31" s="204"/>
      <c r="F31" s="97">
        <f t="shared" si="5"/>
        <v>0</v>
      </c>
      <c r="G31" s="41"/>
      <c r="H31" s="367"/>
      <c r="I31" s="175">
        <f t="shared" si="4"/>
      </c>
      <c r="J31" s="288"/>
      <c r="K31" s="199"/>
      <c r="L31" s="199"/>
    </row>
    <row r="32" spans="1:12" s="1" customFormat="1" ht="12.75">
      <c r="A32" s="246"/>
      <c r="B32" s="213"/>
      <c r="C32" s="72"/>
      <c r="D32" s="72"/>
      <c r="E32" s="204"/>
      <c r="F32" s="97">
        <f t="shared" si="5"/>
        <v>0</v>
      </c>
      <c r="G32" s="41"/>
      <c r="H32" s="367"/>
      <c r="I32" s="175">
        <f t="shared" si="4"/>
      </c>
      <c r="J32" s="288"/>
      <c r="K32" s="199"/>
      <c r="L32" s="199"/>
    </row>
    <row r="33" spans="1:12" s="1" customFormat="1" ht="12.75">
      <c r="A33" s="246"/>
      <c r="B33" s="213"/>
      <c r="C33" s="72"/>
      <c r="D33" s="72"/>
      <c r="E33" s="204"/>
      <c r="F33" s="97">
        <f>IF(D33=0,(IF(C33=0,E33,C33*E33)),(IF(C33=0,E33*D33,C33*D33*E33)))</f>
        <v>0</v>
      </c>
      <c r="G33" s="41"/>
      <c r="H33" s="367"/>
      <c r="I33" s="175">
        <f t="shared" si="4"/>
      </c>
      <c r="J33" s="288"/>
      <c r="K33" s="199"/>
      <c r="L33" s="199"/>
    </row>
    <row r="34" spans="1:12" s="1" customFormat="1" ht="12.75">
      <c r="A34" s="246"/>
      <c r="B34" s="213"/>
      <c r="C34" s="72"/>
      <c r="D34" s="72"/>
      <c r="E34" s="204"/>
      <c r="F34" s="97">
        <f>IF(D34=0,(IF(C34=0,E34,C34*E34)),(IF(C34=0,E34*D34,C34*D34*E34)))</f>
        <v>0</v>
      </c>
      <c r="G34" s="41"/>
      <c r="H34" s="367"/>
      <c r="I34" s="175">
        <f t="shared" si="4"/>
      </c>
      <c r="J34" s="288"/>
      <c r="K34" s="199"/>
      <c r="L34" s="199"/>
    </row>
    <row r="35" spans="1:12" s="1" customFormat="1" ht="12.75">
      <c r="A35" s="246"/>
      <c r="B35" s="213"/>
      <c r="C35" s="72"/>
      <c r="D35" s="72"/>
      <c r="E35" s="204"/>
      <c r="F35" s="97">
        <f>IF(D35=0,(IF(C35=0,E35,C35*E35)),(IF(C35=0,E35*D35,C35*D35*E35)))</f>
        <v>0</v>
      </c>
      <c r="G35" s="41"/>
      <c r="H35" s="367"/>
      <c r="I35" s="175">
        <f t="shared" si="4"/>
      </c>
      <c r="J35" s="288"/>
      <c r="K35" s="199"/>
      <c r="L35" s="199"/>
    </row>
    <row r="36" spans="1:12" s="1" customFormat="1" ht="12.75">
      <c r="A36" s="246"/>
      <c r="B36" s="213"/>
      <c r="C36" s="72"/>
      <c r="D36" s="72"/>
      <c r="E36" s="204"/>
      <c r="F36" s="97">
        <f t="shared" si="5"/>
        <v>0</v>
      </c>
      <c r="G36" s="41"/>
      <c r="H36" s="367"/>
      <c r="I36" s="175">
        <f t="shared" si="4"/>
      </c>
      <c r="J36" s="288"/>
      <c r="K36" s="199"/>
      <c r="L36" s="199"/>
    </row>
    <row r="37" spans="1:12" s="1" customFormat="1" ht="12.75">
      <c r="A37" s="246"/>
      <c r="B37" s="213"/>
      <c r="C37" s="72"/>
      <c r="D37" s="72"/>
      <c r="E37" s="204"/>
      <c r="F37" s="97">
        <f t="shared" si="5"/>
        <v>0</v>
      </c>
      <c r="G37" s="41"/>
      <c r="H37" s="367"/>
      <c r="I37" s="175">
        <f t="shared" si="4"/>
      </c>
      <c r="J37" s="288"/>
      <c r="K37" s="199"/>
      <c r="L37" s="199"/>
    </row>
    <row r="38" spans="1:12" s="1" customFormat="1" ht="12.75">
      <c r="A38" s="246"/>
      <c r="B38" s="213"/>
      <c r="C38" s="72"/>
      <c r="D38" s="72"/>
      <c r="E38" s="204"/>
      <c r="F38" s="97">
        <f t="shared" si="5"/>
        <v>0</v>
      </c>
      <c r="G38" s="41"/>
      <c r="H38" s="367"/>
      <c r="I38" s="175">
        <f t="shared" si="4"/>
      </c>
      <c r="J38" s="288"/>
      <c r="K38" s="199"/>
      <c r="L38" s="199"/>
    </row>
    <row r="39" spans="1:12" s="1" customFormat="1" ht="12.75">
      <c r="A39" s="246"/>
      <c r="B39" s="213"/>
      <c r="C39" s="72"/>
      <c r="D39" s="72"/>
      <c r="E39" s="204"/>
      <c r="F39" s="97">
        <f t="shared" si="5"/>
        <v>0</v>
      </c>
      <c r="G39" s="41"/>
      <c r="H39" s="367"/>
      <c r="I39" s="175">
        <f t="shared" si="4"/>
      </c>
      <c r="J39" s="288"/>
      <c r="K39" s="199"/>
      <c r="L39" s="199"/>
    </row>
    <row r="40" spans="1:12" s="1" customFormat="1" ht="12.75">
      <c r="A40" s="246"/>
      <c r="B40" s="213"/>
      <c r="C40" s="72"/>
      <c r="D40" s="72"/>
      <c r="E40" s="204"/>
      <c r="F40" s="97">
        <f t="shared" si="3"/>
        <v>0</v>
      </c>
      <c r="G40" s="41"/>
      <c r="H40" s="367"/>
      <c r="I40" s="175">
        <f t="shared" si="4"/>
      </c>
      <c r="J40" s="288"/>
      <c r="K40" s="199"/>
      <c r="L40" s="199"/>
    </row>
    <row r="41" spans="1:12" s="1" customFormat="1" ht="12.75">
      <c r="A41" s="246"/>
      <c r="B41" s="213"/>
      <c r="C41" s="72"/>
      <c r="D41" s="72"/>
      <c r="E41" s="204"/>
      <c r="F41" s="97">
        <f t="shared" si="3"/>
        <v>0</v>
      </c>
      <c r="G41" s="41"/>
      <c r="H41" s="367"/>
      <c r="I41" s="175">
        <f t="shared" si="4"/>
      </c>
      <c r="J41" s="288"/>
      <c r="K41" s="199"/>
      <c r="L41" s="199"/>
    </row>
    <row r="42" spans="1:12" s="1" customFormat="1" ht="12.75">
      <c r="A42" s="246"/>
      <c r="B42" s="213"/>
      <c r="C42" s="72"/>
      <c r="D42" s="72"/>
      <c r="E42" s="204"/>
      <c r="F42" s="97">
        <f t="shared" si="3"/>
        <v>0</v>
      </c>
      <c r="G42" s="41"/>
      <c r="H42" s="367"/>
      <c r="I42" s="175">
        <f t="shared" si="4"/>
      </c>
      <c r="J42" s="288"/>
      <c r="K42" s="199"/>
      <c r="L42" s="199"/>
    </row>
    <row r="43" spans="1:12" s="1" customFormat="1" ht="12.75">
      <c r="A43" s="246"/>
      <c r="B43" s="213"/>
      <c r="C43" s="72"/>
      <c r="D43" s="72"/>
      <c r="E43" s="204"/>
      <c r="F43" s="97">
        <f t="shared" si="3"/>
        <v>0</v>
      </c>
      <c r="G43" s="41"/>
      <c r="H43" s="367"/>
      <c r="I43" s="175">
        <f t="shared" si="4"/>
      </c>
      <c r="J43" s="288"/>
      <c r="K43" s="199"/>
      <c r="L43" s="199"/>
    </row>
    <row r="44" spans="1:12" s="1" customFormat="1" ht="12.75">
      <c r="A44" s="246"/>
      <c r="B44" s="213"/>
      <c r="C44" s="72"/>
      <c r="D44" s="72"/>
      <c r="E44" s="204"/>
      <c r="F44" s="97">
        <f t="shared" si="3"/>
        <v>0</v>
      </c>
      <c r="G44" s="41"/>
      <c r="H44" s="367"/>
      <c r="I44" s="175">
        <f t="shared" si="4"/>
      </c>
      <c r="J44" s="288"/>
      <c r="K44" s="199"/>
      <c r="L44" s="199"/>
    </row>
    <row r="45" spans="1:12" s="1" customFormat="1" ht="12.75">
      <c r="A45" s="246"/>
      <c r="B45" s="213"/>
      <c r="C45" s="72"/>
      <c r="D45" s="72"/>
      <c r="E45" s="204"/>
      <c r="F45" s="97">
        <f t="shared" si="3"/>
        <v>0</v>
      </c>
      <c r="G45" s="41"/>
      <c r="H45" s="367"/>
      <c r="I45" s="175">
        <f t="shared" si="4"/>
      </c>
      <c r="J45" s="288"/>
      <c r="K45" s="199"/>
      <c r="L45" s="199"/>
    </row>
    <row r="46" spans="1:12" s="1" customFormat="1" ht="12.75">
      <c r="A46" s="246"/>
      <c r="B46" s="213"/>
      <c r="C46" s="72"/>
      <c r="D46" s="72"/>
      <c r="E46" s="204"/>
      <c r="F46" s="97">
        <f t="shared" si="3"/>
        <v>0</v>
      </c>
      <c r="G46" s="41"/>
      <c r="H46" s="367"/>
      <c r="I46" s="175">
        <f t="shared" si="4"/>
      </c>
      <c r="J46" s="288"/>
      <c r="K46" s="199"/>
      <c r="L46" s="199"/>
    </row>
    <row r="47" spans="1:12" s="1" customFormat="1" ht="12.75">
      <c r="A47" s="246"/>
      <c r="B47" s="213"/>
      <c r="C47" s="72"/>
      <c r="D47" s="72"/>
      <c r="E47" s="204"/>
      <c r="F47" s="209">
        <f t="shared" si="3"/>
        <v>0</v>
      </c>
      <c r="G47" s="41"/>
      <c r="H47" s="367"/>
      <c r="I47" s="175">
        <f t="shared" si="4"/>
      </c>
      <c r="J47" s="288"/>
      <c r="K47" s="199"/>
      <c r="L47" s="199"/>
    </row>
    <row r="48" spans="3:12" ht="13.5" thickBot="1">
      <c r="C48" s="48"/>
      <c r="D48" s="64"/>
      <c r="E48" s="35" t="s">
        <v>570</v>
      </c>
      <c r="F48" s="202">
        <f>SUM(F28:F47)</f>
        <v>0</v>
      </c>
      <c r="G48" s="41"/>
      <c r="H48" s="1"/>
      <c r="I48" s="202">
        <f>SUM(I28:I47)</f>
        <v>0</v>
      </c>
      <c r="J48" s="41"/>
      <c r="K48" s="199"/>
      <c r="L48" s="199"/>
    </row>
    <row r="49" spans="3:12" ht="13.5" thickTop="1">
      <c r="C49" s="48"/>
      <c r="D49" s="64"/>
      <c r="E49" s="35"/>
      <c r="F49" s="41"/>
      <c r="G49" s="41"/>
      <c r="H49" s="1"/>
      <c r="I49" s="41"/>
      <c r="J49" s="41"/>
      <c r="K49" s="199"/>
      <c r="L49" s="199"/>
    </row>
    <row r="50" spans="3:12" ht="12.75">
      <c r="C50" s="48"/>
      <c r="D50" s="64"/>
      <c r="E50" s="35"/>
      <c r="F50" s="41"/>
      <c r="G50" s="41"/>
      <c r="H50" s="1"/>
      <c r="I50" s="41"/>
      <c r="J50" s="41"/>
      <c r="K50" s="199"/>
      <c r="L50" s="199"/>
    </row>
    <row r="51" spans="1:12" ht="12.75">
      <c r="A51" s="224">
        <v>449073</v>
      </c>
      <c r="B51" t="s">
        <v>413</v>
      </c>
      <c r="C51" s="33" t="s">
        <v>422</v>
      </c>
      <c r="D51" s="65" t="s">
        <v>423</v>
      </c>
      <c r="E51" s="33" t="s">
        <v>424</v>
      </c>
      <c r="F51" s="33" t="s">
        <v>425</v>
      </c>
      <c r="G51" s="33"/>
      <c r="K51" s="199"/>
      <c r="L51" s="199"/>
    </row>
    <row r="52" spans="1:12" s="1" customFormat="1" ht="12.75">
      <c r="A52" s="246"/>
      <c r="B52" s="213"/>
      <c r="C52" s="72"/>
      <c r="D52" s="72"/>
      <c r="E52" s="204"/>
      <c r="F52" s="96">
        <f>IF(D52=0,(IF(C52=0,E52,C52*E52)),(IF(C52=0,E52*D52,C52*D52*E52)))</f>
        <v>0</v>
      </c>
      <c r="G52" s="41"/>
      <c r="H52" s="367"/>
      <c r="I52" s="175">
        <f aca="true" t="shared" si="6" ref="I52:I71">IF(H52&lt;&gt;"",(F52*mvalav)-F52,"")</f>
      </c>
      <c r="J52" s="288"/>
      <c r="K52" s="199"/>
      <c r="L52" s="199"/>
    </row>
    <row r="53" spans="1:12" s="1" customFormat="1" ht="12.75">
      <c r="A53" s="246"/>
      <c r="B53" s="213"/>
      <c r="C53" s="72"/>
      <c r="D53" s="72"/>
      <c r="E53" s="204"/>
      <c r="F53" s="97">
        <f aca="true" t="shared" si="7" ref="F53:F62">IF(D53=0,(IF(C53=0,E53,C53*E53)),(IF(C53=0,E53*D53,C53*D53*E53)))</f>
        <v>0</v>
      </c>
      <c r="G53" s="41"/>
      <c r="H53" s="367"/>
      <c r="I53" s="175">
        <f t="shared" si="6"/>
      </c>
      <c r="J53" s="288"/>
      <c r="K53" s="199"/>
      <c r="L53" s="199"/>
    </row>
    <row r="54" spans="1:12" s="1" customFormat="1" ht="12.75">
      <c r="A54" s="246"/>
      <c r="B54" s="213"/>
      <c r="C54" s="72"/>
      <c r="D54" s="72"/>
      <c r="E54" s="204"/>
      <c r="F54" s="97">
        <f t="shared" si="7"/>
        <v>0</v>
      </c>
      <c r="G54" s="41"/>
      <c r="H54" s="367"/>
      <c r="I54" s="175">
        <f t="shared" si="6"/>
      </c>
      <c r="J54" s="288"/>
      <c r="K54" s="199"/>
      <c r="L54" s="199"/>
    </row>
    <row r="55" spans="1:12" s="1" customFormat="1" ht="12.75">
      <c r="A55" s="246"/>
      <c r="B55" s="213"/>
      <c r="C55" s="72"/>
      <c r="D55" s="72"/>
      <c r="E55" s="204"/>
      <c r="F55" s="97">
        <f>IF(D55=0,(IF(C55=0,E55,C55*E55)),(IF(C55=0,E55*D55,C55*D55*E55)))</f>
        <v>0</v>
      </c>
      <c r="G55" s="41"/>
      <c r="H55" s="367"/>
      <c r="I55" s="175">
        <f t="shared" si="6"/>
      </c>
      <c r="J55" s="288"/>
      <c r="K55" s="199"/>
      <c r="L55" s="199"/>
    </row>
    <row r="56" spans="1:12" s="1" customFormat="1" ht="12.75">
      <c r="A56" s="246"/>
      <c r="B56" s="213"/>
      <c r="C56" s="72"/>
      <c r="D56" s="72"/>
      <c r="E56" s="204"/>
      <c r="F56" s="97">
        <f>IF(D56=0,(IF(C56=0,E56,C56*E56)),(IF(C56=0,E56*D56,C56*D56*E56)))</f>
        <v>0</v>
      </c>
      <c r="G56" s="41"/>
      <c r="H56" s="367"/>
      <c r="I56" s="175">
        <f t="shared" si="6"/>
      </c>
      <c r="J56" s="288"/>
      <c r="K56" s="199"/>
      <c r="L56" s="199"/>
    </row>
    <row r="57" spans="1:12" s="1" customFormat="1" ht="12.75">
      <c r="A57" s="246"/>
      <c r="B57" s="213"/>
      <c r="C57" s="72"/>
      <c r="D57" s="72"/>
      <c r="E57" s="204"/>
      <c r="F57" s="97">
        <f t="shared" si="7"/>
        <v>0</v>
      </c>
      <c r="G57" s="41"/>
      <c r="H57" s="367"/>
      <c r="I57" s="175">
        <f t="shared" si="6"/>
      </c>
      <c r="J57" s="288"/>
      <c r="K57" s="199"/>
      <c r="L57" s="199"/>
    </row>
    <row r="58" spans="1:12" s="1" customFormat="1" ht="12.75">
      <c r="A58" s="246"/>
      <c r="B58" s="213"/>
      <c r="C58" s="72"/>
      <c r="D58" s="72"/>
      <c r="E58" s="204"/>
      <c r="F58" s="97">
        <f t="shared" si="7"/>
        <v>0</v>
      </c>
      <c r="G58" s="41"/>
      <c r="H58" s="367"/>
      <c r="I58" s="175">
        <f t="shared" si="6"/>
      </c>
      <c r="J58" s="288"/>
      <c r="K58" s="199"/>
      <c r="L58" s="199"/>
    </row>
    <row r="59" spans="1:12" s="1" customFormat="1" ht="12.75">
      <c r="A59" s="246"/>
      <c r="B59" s="213"/>
      <c r="C59" s="72"/>
      <c r="D59" s="72"/>
      <c r="E59" s="204"/>
      <c r="F59" s="97">
        <f t="shared" si="7"/>
        <v>0</v>
      </c>
      <c r="G59" s="41"/>
      <c r="H59" s="367"/>
      <c r="I59" s="175">
        <f t="shared" si="6"/>
      </c>
      <c r="J59" s="288"/>
      <c r="K59" s="199"/>
      <c r="L59" s="199"/>
    </row>
    <row r="60" spans="1:12" s="1" customFormat="1" ht="12.75">
      <c r="A60" s="246"/>
      <c r="B60" s="213"/>
      <c r="C60" s="72"/>
      <c r="D60" s="72"/>
      <c r="E60" s="204"/>
      <c r="F60" s="97">
        <f t="shared" si="7"/>
        <v>0</v>
      </c>
      <c r="G60" s="41"/>
      <c r="H60" s="367"/>
      <c r="I60" s="175">
        <f t="shared" si="6"/>
      </c>
      <c r="J60" s="288"/>
      <c r="K60" s="199"/>
      <c r="L60" s="199"/>
    </row>
    <row r="61" spans="1:12" s="1" customFormat="1" ht="12.75">
      <c r="A61" s="246"/>
      <c r="B61" s="213"/>
      <c r="C61" s="72"/>
      <c r="D61" s="72"/>
      <c r="E61" s="204"/>
      <c r="F61" s="97">
        <f t="shared" si="7"/>
        <v>0</v>
      </c>
      <c r="G61" s="41"/>
      <c r="H61" s="367"/>
      <c r="I61" s="175">
        <f t="shared" si="6"/>
      </c>
      <c r="J61" s="288"/>
      <c r="K61" s="199"/>
      <c r="L61" s="199"/>
    </row>
    <row r="62" spans="1:12" s="1" customFormat="1" ht="12.75">
      <c r="A62" s="246"/>
      <c r="B62" s="213"/>
      <c r="C62" s="72"/>
      <c r="D62" s="72"/>
      <c r="E62" s="204"/>
      <c r="F62" s="97">
        <f t="shared" si="7"/>
        <v>0</v>
      </c>
      <c r="G62" s="41"/>
      <c r="H62" s="367"/>
      <c r="I62" s="175">
        <f t="shared" si="6"/>
      </c>
      <c r="J62" s="288"/>
      <c r="K62" s="199"/>
      <c r="L62" s="199"/>
    </row>
    <row r="63" spans="1:12" s="1" customFormat="1" ht="12.75">
      <c r="A63" s="246"/>
      <c r="B63" s="213"/>
      <c r="C63" s="72"/>
      <c r="D63" s="72"/>
      <c r="E63" s="204"/>
      <c r="F63" s="97">
        <f aca="true" t="shared" si="8" ref="F63:F71">IF(D63=0,(IF(C63=0,E63,C63*E63)),(IF(C63=0,E63*D63,C63*D63*E63)))</f>
        <v>0</v>
      </c>
      <c r="G63" s="41"/>
      <c r="H63" s="367"/>
      <c r="I63" s="175">
        <f t="shared" si="6"/>
      </c>
      <c r="J63" s="288"/>
      <c r="K63" s="199"/>
      <c r="L63" s="199"/>
    </row>
    <row r="64" spans="1:12" s="1" customFormat="1" ht="12.75">
      <c r="A64" s="246"/>
      <c r="B64" s="213"/>
      <c r="C64" s="72"/>
      <c r="D64" s="72"/>
      <c r="E64" s="204"/>
      <c r="F64" s="97">
        <f>IF(D64=0,(IF(C64=0,E64,C64*E64)),(IF(C64=0,E64*D64,C64*D64*E64)))</f>
        <v>0</v>
      </c>
      <c r="G64" s="41"/>
      <c r="H64" s="367"/>
      <c r="I64" s="175">
        <f t="shared" si="6"/>
      </c>
      <c r="J64" s="288"/>
      <c r="K64" s="199"/>
      <c r="L64" s="199"/>
    </row>
    <row r="65" spans="1:12" s="1" customFormat="1" ht="12.75">
      <c r="A65" s="246"/>
      <c r="B65" s="213"/>
      <c r="C65" s="72"/>
      <c r="D65" s="72"/>
      <c r="E65" s="204"/>
      <c r="F65" s="97">
        <f>IF(D65=0,(IF(C65=0,E65,C65*E65)),(IF(C65=0,E65*D65,C65*D65*E65)))</f>
        <v>0</v>
      </c>
      <c r="G65" s="41"/>
      <c r="H65" s="367"/>
      <c r="I65" s="175">
        <f t="shared" si="6"/>
      </c>
      <c r="J65" s="288"/>
      <c r="K65" s="199"/>
      <c r="L65" s="199"/>
    </row>
    <row r="66" spans="1:12" s="1" customFormat="1" ht="12.75">
      <c r="A66" s="246"/>
      <c r="B66" s="213"/>
      <c r="C66" s="72"/>
      <c r="D66" s="72"/>
      <c r="E66" s="204"/>
      <c r="F66" s="97">
        <f t="shared" si="8"/>
        <v>0</v>
      </c>
      <c r="G66" s="41"/>
      <c r="H66" s="367"/>
      <c r="I66" s="175">
        <f t="shared" si="6"/>
      </c>
      <c r="J66" s="288"/>
      <c r="K66" s="199"/>
      <c r="L66" s="199"/>
    </row>
    <row r="67" spans="1:12" s="1" customFormat="1" ht="12.75">
      <c r="A67" s="246"/>
      <c r="B67" s="213"/>
      <c r="C67" s="72"/>
      <c r="D67" s="72"/>
      <c r="E67" s="204"/>
      <c r="F67" s="97">
        <f t="shared" si="8"/>
        <v>0</v>
      </c>
      <c r="G67" s="41"/>
      <c r="H67" s="367"/>
      <c r="I67" s="175">
        <f t="shared" si="6"/>
      </c>
      <c r="J67" s="288"/>
      <c r="K67" s="199"/>
      <c r="L67" s="199"/>
    </row>
    <row r="68" spans="1:12" s="1" customFormat="1" ht="12.75">
      <c r="A68" s="246"/>
      <c r="B68" s="213"/>
      <c r="C68" s="72"/>
      <c r="D68" s="72"/>
      <c r="E68" s="204"/>
      <c r="F68" s="97">
        <f t="shared" si="8"/>
        <v>0</v>
      </c>
      <c r="G68" s="41"/>
      <c r="H68" s="367"/>
      <c r="I68" s="175">
        <f t="shared" si="6"/>
      </c>
      <c r="J68" s="288"/>
      <c r="K68" s="199"/>
      <c r="L68" s="199"/>
    </row>
    <row r="69" spans="1:12" s="1" customFormat="1" ht="12.75">
      <c r="A69" s="246"/>
      <c r="B69" s="213"/>
      <c r="C69" s="72"/>
      <c r="D69" s="72"/>
      <c r="E69" s="204"/>
      <c r="F69" s="97">
        <f t="shared" si="8"/>
        <v>0</v>
      </c>
      <c r="G69" s="41"/>
      <c r="H69" s="367"/>
      <c r="I69" s="175">
        <f t="shared" si="6"/>
      </c>
      <c r="J69" s="288"/>
      <c r="K69" s="199"/>
      <c r="L69" s="199"/>
    </row>
    <row r="70" spans="1:12" s="1" customFormat="1" ht="12.75">
      <c r="A70" s="246"/>
      <c r="B70" s="213"/>
      <c r="C70" s="72"/>
      <c r="D70" s="72"/>
      <c r="E70" s="204"/>
      <c r="F70" s="97">
        <f t="shared" si="8"/>
        <v>0</v>
      </c>
      <c r="G70" s="41"/>
      <c r="H70" s="367"/>
      <c r="I70" s="175">
        <f t="shared" si="6"/>
      </c>
      <c r="J70" s="288"/>
      <c r="K70" s="199"/>
      <c r="L70" s="199"/>
    </row>
    <row r="71" spans="1:12" s="1" customFormat="1" ht="12.75">
      <c r="A71" s="246"/>
      <c r="B71" s="213"/>
      <c r="C71" s="72"/>
      <c r="D71" s="72"/>
      <c r="E71" s="204"/>
      <c r="F71" s="209">
        <f t="shared" si="8"/>
        <v>0</v>
      </c>
      <c r="G71" s="41"/>
      <c r="H71" s="367"/>
      <c r="I71" s="175">
        <f t="shared" si="6"/>
      </c>
      <c r="J71" s="288"/>
      <c r="K71" s="199"/>
      <c r="L71" s="199"/>
    </row>
    <row r="72" spans="3:12" ht="13.5" thickBot="1">
      <c r="C72" s="48"/>
      <c r="D72" s="64"/>
      <c r="E72" s="35" t="s">
        <v>570</v>
      </c>
      <c r="F72" s="202">
        <f>SUM(F52:F71)</f>
        <v>0</v>
      </c>
      <c r="G72" s="41"/>
      <c r="H72" s="1"/>
      <c r="I72" s="202">
        <f>SUM(I52:I71)</f>
        <v>0</v>
      </c>
      <c r="J72" s="41"/>
      <c r="K72" s="199"/>
      <c r="L72" s="199"/>
    </row>
    <row r="73" spans="3:12" ht="13.5" thickTop="1">
      <c r="C73" s="48"/>
      <c r="D73" s="64"/>
      <c r="E73" s="35"/>
      <c r="F73" s="41"/>
      <c r="G73" s="41"/>
      <c r="H73" s="1"/>
      <c r="I73" s="41"/>
      <c r="J73" s="41"/>
      <c r="K73" s="199"/>
      <c r="L73" s="199"/>
    </row>
    <row r="74" spans="3:12" ht="12.75">
      <c r="C74" s="48"/>
      <c r="D74" s="64"/>
      <c r="E74" s="35"/>
      <c r="F74" s="41"/>
      <c r="G74" s="41"/>
      <c r="H74" s="1"/>
      <c r="I74" s="41"/>
      <c r="J74" s="41"/>
      <c r="K74" s="199"/>
      <c r="L74" s="199"/>
    </row>
    <row r="75" spans="1:12" ht="12.75">
      <c r="A75" s="224">
        <v>449082</v>
      </c>
      <c r="B75" t="s">
        <v>414</v>
      </c>
      <c r="C75" s="33" t="s">
        <v>422</v>
      </c>
      <c r="D75" s="65" t="s">
        <v>423</v>
      </c>
      <c r="E75" s="33" t="s">
        <v>424</v>
      </c>
      <c r="F75" s="33" t="s">
        <v>425</v>
      </c>
      <c r="G75" s="33"/>
      <c r="K75" s="199"/>
      <c r="L75" s="199"/>
    </row>
    <row r="76" spans="1:12" s="1" customFormat="1" ht="12.75">
      <c r="A76" s="246"/>
      <c r="B76" s="213"/>
      <c r="C76" s="72"/>
      <c r="D76" s="72"/>
      <c r="E76" s="204"/>
      <c r="F76" s="96">
        <f>IF(D76=0,(IF(C76=0,E76,C76*E76)),(IF(C76=0,E76*D76,C76*D76*E76)))</f>
        <v>0</v>
      </c>
      <c r="G76" s="41"/>
      <c r="H76" s="367"/>
      <c r="I76" s="175">
        <f>IF(H76&lt;&gt;"",(F76*mva)-F76,"")</f>
      </c>
      <c r="J76" s="288"/>
      <c r="K76" s="199"/>
      <c r="L76" s="199"/>
    </row>
    <row r="77" spans="1:12" s="1" customFormat="1" ht="12.75">
      <c r="A77" s="246"/>
      <c r="B77" s="213"/>
      <c r="C77" s="72"/>
      <c r="D77" s="72"/>
      <c r="E77" s="204"/>
      <c r="F77" s="97">
        <f aca="true" t="shared" si="9" ref="F77:F95">IF(D77=0,(IF(C77=0,E77,C77*E77)),(IF(C77=0,E77*D77,C77*D77*E77)))</f>
        <v>0</v>
      </c>
      <c r="G77" s="41"/>
      <c r="H77" s="367"/>
      <c r="I77" s="175">
        <f aca="true" t="shared" si="10" ref="I77:I95">IF(H77&lt;&gt;"",(F77*mva)-F77,"")</f>
      </c>
      <c r="J77" s="288"/>
      <c r="K77" s="199"/>
      <c r="L77" s="199"/>
    </row>
    <row r="78" spans="1:12" s="1" customFormat="1" ht="12.75">
      <c r="A78" s="246"/>
      <c r="B78" s="213"/>
      <c r="C78" s="72"/>
      <c r="D78" s="72"/>
      <c r="E78" s="204"/>
      <c r="F78" s="97">
        <f aca="true" t="shared" si="11" ref="F78:F87">IF(D78=0,(IF(C78=0,E78,C78*E78)),(IF(C78=0,E78*D78,C78*D78*E78)))</f>
        <v>0</v>
      </c>
      <c r="G78" s="41"/>
      <c r="H78" s="367"/>
      <c r="I78" s="175">
        <f t="shared" si="10"/>
      </c>
      <c r="J78" s="288"/>
      <c r="K78" s="199"/>
      <c r="L78" s="199"/>
    </row>
    <row r="79" spans="1:12" s="1" customFormat="1" ht="12.75">
      <c r="A79" s="246"/>
      <c r="B79" s="213"/>
      <c r="C79" s="72"/>
      <c r="D79" s="72"/>
      <c r="E79" s="204"/>
      <c r="F79" s="97">
        <f t="shared" si="11"/>
        <v>0</v>
      </c>
      <c r="G79" s="41"/>
      <c r="H79" s="367"/>
      <c r="I79" s="175">
        <f t="shared" si="10"/>
      </c>
      <c r="J79" s="288"/>
      <c r="K79" s="199"/>
      <c r="L79" s="199"/>
    </row>
    <row r="80" spans="1:12" s="1" customFormat="1" ht="12.75">
      <c r="A80" s="246"/>
      <c r="B80" s="213"/>
      <c r="C80" s="72"/>
      <c r="D80" s="72"/>
      <c r="E80" s="204"/>
      <c r="F80" s="97">
        <f t="shared" si="11"/>
        <v>0</v>
      </c>
      <c r="G80" s="41"/>
      <c r="H80" s="367"/>
      <c r="I80" s="175">
        <f t="shared" si="10"/>
      </c>
      <c r="J80" s="288"/>
      <c r="K80" s="199"/>
      <c r="L80" s="199"/>
    </row>
    <row r="81" spans="1:12" s="1" customFormat="1" ht="12.75">
      <c r="A81" s="246"/>
      <c r="B81" s="213"/>
      <c r="C81" s="72"/>
      <c r="D81" s="72"/>
      <c r="E81" s="204"/>
      <c r="F81" s="97">
        <f t="shared" si="11"/>
        <v>0</v>
      </c>
      <c r="G81" s="41"/>
      <c r="H81" s="367"/>
      <c r="I81" s="175">
        <f t="shared" si="10"/>
      </c>
      <c r="J81" s="288"/>
      <c r="K81" s="199"/>
      <c r="L81" s="199"/>
    </row>
    <row r="82" spans="1:12" s="1" customFormat="1" ht="12.75">
      <c r="A82" s="246"/>
      <c r="B82" s="213"/>
      <c r="C82" s="72"/>
      <c r="D82" s="72"/>
      <c r="E82" s="204"/>
      <c r="F82" s="97">
        <f t="shared" si="11"/>
        <v>0</v>
      </c>
      <c r="G82" s="41"/>
      <c r="H82" s="367"/>
      <c r="I82" s="175">
        <f t="shared" si="10"/>
      </c>
      <c r="J82" s="288"/>
      <c r="K82" s="199"/>
      <c r="L82" s="199"/>
    </row>
    <row r="83" spans="1:12" s="1" customFormat="1" ht="12.75">
      <c r="A83" s="246"/>
      <c r="B83" s="213"/>
      <c r="C83" s="72"/>
      <c r="D83" s="72"/>
      <c r="E83" s="204"/>
      <c r="F83" s="97">
        <f t="shared" si="11"/>
        <v>0</v>
      </c>
      <c r="G83" s="41"/>
      <c r="H83" s="367"/>
      <c r="I83" s="175">
        <f t="shared" si="10"/>
      </c>
      <c r="J83" s="288"/>
      <c r="K83" s="199"/>
      <c r="L83" s="199"/>
    </row>
    <row r="84" spans="1:12" s="1" customFormat="1" ht="12.75">
      <c r="A84" s="246"/>
      <c r="B84" s="213"/>
      <c r="C84" s="72"/>
      <c r="D84" s="72"/>
      <c r="E84" s="204"/>
      <c r="F84" s="97">
        <f t="shared" si="11"/>
        <v>0</v>
      </c>
      <c r="G84" s="41"/>
      <c r="H84" s="367"/>
      <c r="I84" s="175">
        <f t="shared" si="10"/>
      </c>
      <c r="J84" s="288"/>
      <c r="K84" s="199"/>
      <c r="L84" s="199"/>
    </row>
    <row r="85" spans="1:12" s="1" customFormat="1" ht="12.75">
      <c r="A85" s="246"/>
      <c r="B85" s="213"/>
      <c r="C85" s="72"/>
      <c r="D85" s="72"/>
      <c r="E85" s="204"/>
      <c r="F85" s="97">
        <f t="shared" si="11"/>
        <v>0</v>
      </c>
      <c r="G85" s="41"/>
      <c r="H85" s="367"/>
      <c r="I85" s="175">
        <f t="shared" si="10"/>
      </c>
      <c r="J85" s="288"/>
      <c r="K85" s="199"/>
      <c r="L85" s="199"/>
    </row>
    <row r="86" spans="1:12" s="1" customFormat="1" ht="12.75">
      <c r="A86" s="246"/>
      <c r="B86" s="213"/>
      <c r="C86" s="72"/>
      <c r="D86" s="72"/>
      <c r="E86" s="204"/>
      <c r="F86" s="97">
        <f t="shared" si="11"/>
        <v>0</v>
      </c>
      <c r="G86" s="41"/>
      <c r="H86" s="367"/>
      <c r="I86" s="175">
        <f t="shared" si="10"/>
      </c>
      <c r="J86" s="288"/>
      <c r="K86" s="199"/>
      <c r="L86" s="199"/>
    </row>
    <row r="87" spans="1:12" s="1" customFormat="1" ht="12.75">
      <c r="A87" s="246"/>
      <c r="B87" s="213"/>
      <c r="C87" s="72"/>
      <c r="D87" s="72"/>
      <c r="E87" s="204"/>
      <c r="F87" s="97">
        <f t="shared" si="11"/>
        <v>0</v>
      </c>
      <c r="G87" s="41"/>
      <c r="H87" s="367"/>
      <c r="I87" s="175">
        <f t="shared" si="10"/>
      </c>
      <c r="J87" s="288"/>
      <c r="K87" s="199"/>
      <c r="L87" s="199"/>
    </row>
    <row r="88" spans="1:12" s="1" customFormat="1" ht="12.75">
      <c r="A88" s="246"/>
      <c r="B88" s="213"/>
      <c r="C88" s="72"/>
      <c r="D88" s="72"/>
      <c r="E88" s="204"/>
      <c r="F88" s="97">
        <f t="shared" si="9"/>
        <v>0</v>
      </c>
      <c r="G88" s="41"/>
      <c r="H88" s="367"/>
      <c r="I88" s="175">
        <f t="shared" si="10"/>
      </c>
      <c r="J88" s="288"/>
      <c r="K88" s="199"/>
      <c r="L88" s="199"/>
    </row>
    <row r="89" spans="1:12" s="1" customFormat="1" ht="12.75">
      <c r="A89" s="246"/>
      <c r="B89" s="213"/>
      <c r="C89" s="72"/>
      <c r="D89" s="72"/>
      <c r="E89" s="204"/>
      <c r="F89" s="97">
        <f t="shared" si="9"/>
        <v>0</v>
      </c>
      <c r="G89" s="41"/>
      <c r="H89" s="367"/>
      <c r="I89" s="175">
        <f t="shared" si="10"/>
      </c>
      <c r="J89" s="288"/>
      <c r="K89" s="199"/>
      <c r="L89" s="199"/>
    </row>
    <row r="90" spans="1:12" s="1" customFormat="1" ht="12.75">
      <c r="A90" s="246"/>
      <c r="B90" s="213"/>
      <c r="C90" s="72"/>
      <c r="D90" s="72"/>
      <c r="E90" s="204"/>
      <c r="F90" s="97">
        <f t="shared" si="9"/>
        <v>0</v>
      </c>
      <c r="G90" s="41"/>
      <c r="H90" s="367"/>
      <c r="I90" s="175">
        <f t="shared" si="10"/>
      </c>
      <c r="J90" s="288"/>
      <c r="K90" s="199"/>
      <c r="L90" s="199"/>
    </row>
    <row r="91" spans="1:12" s="1" customFormat="1" ht="12.75">
      <c r="A91" s="246"/>
      <c r="B91" s="213"/>
      <c r="C91" s="72"/>
      <c r="D91" s="72"/>
      <c r="E91" s="204"/>
      <c r="F91" s="97">
        <f t="shared" si="9"/>
        <v>0</v>
      </c>
      <c r="G91" s="41"/>
      <c r="H91" s="367"/>
      <c r="I91" s="175">
        <f t="shared" si="10"/>
      </c>
      <c r="J91" s="288"/>
      <c r="K91" s="199"/>
      <c r="L91" s="199"/>
    </row>
    <row r="92" spans="1:12" s="1" customFormat="1" ht="12.75">
      <c r="A92" s="246"/>
      <c r="B92" s="213"/>
      <c r="C92" s="72"/>
      <c r="D92" s="72"/>
      <c r="E92" s="204"/>
      <c r="F92" s="97">
        <f t="shared" si="9"/>
        <v>0</v>
      </c>
      <c r="G92" s="41"/>
      <c r="H92" s="367"/>
      <c r="I92" s="175">
        <f t="shared" si="10"/>
      </c>
      <c r="J92" s="288"/>
      <c r="K92" s="199"/>
      <c r="L92" s="199"/>
    </row>
    <row r="93" spans="1:12" s="1" customFormat="1" ht="12.75">
      <c r="A93" s="246"/>
      <c r="B93" s="213"/>
      <c r="C93" s="72"/>
      <c r="D93" s="72"/>
      <c r="E93" s="204"/>
      <c r="F93" s="97">
        <f t="shared" si="9"/>
        <v>0</v>
      </c>
      <c r="G93" s="41"/>
      <c r="H93" s="367"/>
      <c r="I93" s="175">
        <f t="shared" si="10"/>
      </c>
      <c r="J93" s="288"/>
      <c r="K93" s="199"/>
      <c r="L93" s="199"/>
    </row>
    <row r="94" spans="1:12" s="1" customFormat="1" ht="12.75">
      <c r="A94" s="246"/>
      <c r="B94" s="213"/>
      <c r="C94" s="72"/>
      <c r="D94" s="72"/>
      <c r="E94" s="204"/>
      <c r="F94" s="97">
        <f t="shared" si="9"/>
        <v>0</v>
      </c>
      <c r="G94" s="41"/>
      <c r="H94" s="367"/>
      <c r="I94" s="175">
        <f t="shared" si="10"/>
      </c>
      <c r="J94" s="288"/>
      <c r="K94" s="199"/>
      <c r="L94" s="199"/>
    </row>
    <row r="95" spans="1:12" s="1" customFormat="1" ht="12.75">
      <c r="A95" s="246"/>
      <c r="B95" s="213"/>
      <c r="C95" s="72"/>
      <c r="D95" s="72"/>
      <c r="E95" s="204"/>
      <c r="F95" s="209">
        <f t="shared" si="9"/>
        <v>0</v>
      </c>
      <c r="G95" s="41"/>
      <c r="H95" s="367"/>
      <c r="I95" s="175">
        <f t="shared" si="10"/>
      </c>
      <c r="J95" s="288"/>
      <c r="K95" s="199"/>
      <c r="L95" s="199"/>
    </row>
    <row r="96" spans="3:12" ht="13.5" thickBot="1">
      <c r="C96" s="48"/>
      <c r="D96" s="64"/>
      <c r="E96" s="35" t="s">
        <v>570</v>
      </c>
      <c r="F96" s="202">
        <f>SUM(F76:F95)</f>
        <v>0</v>
      </c>
      <c r="G96" s="41"/>
      <c r="H96" s="1"/>
      <c r="I96" s="202">
        <f>SUM(I76:I95)</f>
        <v>0</v>
      </c>
      <c r="J96" s="41"/>
      <c r="K96" s="199"/>
      <c r="L96" s="199"/>
    </row>
    <row r="97" spans="3:12" ht="13.5" thickTop="1">
      <c r="C97" s="48"/>
      <c r="D97" s="64"/>
      <c r="E97" s="35"/>
      <c r="F97" s="41"/>
      <c r="G97" s="41"/>
      <c r="H97" s="1"/>
      <c r="I97" s="41"/>
      <c r="J97" s="41"/>
      <c r="K97" s="199"/>
      <c r="L97" s="199"/>
    </row>
    <row r="98" spans="3:12" ht="12.75">
      <c r="C98" s="48"/>
      <c r="D98" s="64"/>
      <c r="E98" s="35"/>
      <c r="F98" s="41"/>
      <c r="G98" s="41"/>
      <c r="H98" s="1"/>
      <c r="I98" s="41"/>
      <c r="J98" s="41"/>
      <c r="K98" s="199"/>
      <c r="L98" s="199"/>
    </row>
    <row r="99" spans="1:12" ht="12.75">
      <c r="A99" s="224">
        <v>449093</v>
      </c>
      <c r="B99" t="s">
        <v>663</v>
      </c>
      <c r="C99" s="33" t="s">
        <v>422</v>
      </c>
      <c r="D99" s="65" t="s">
        <v>423</v>
      </c>
      <c r="E99" s="33" t="s">
        <v>424</v>
      </c>
      <c r="F99" s="33" t="s">
        <v>425</v>
      </c>
      <c r="G99" s="33"/>
      <c r="K99" s="199"/>
      <c r="L99" s="199"/>
    </row>
    <row r="100" spans="1:12" s="1" customFormat="1" ht="12.75">
      <c r="A100" s="246"/>
      <c r="B100" s="213"/>
      <c r="C100" s="72"/>
      <c r="D100" s="72"/>
      <c r="E100" s="204"/>
      <c r="F100" s="96">
        <f>IF(D100=0,(IF(C100=0,E100,C100*E100)),(IF(C100=0,E100*D100,C100*D100*E100)))</f>
        <v>0</v>
      </c>
      <c r="G100" s="41"/>
      <c r="H100" s="367"/>
      <c r="I100" s="175">
        <f>IF(H100&lt;&gt;"",(F100*mvalav)-F100,"")</f>
      </c>
      <c r="J100" s="288"/>
      <c r="K100" s="199"/>
      <c r="L100" s="199"/>
    </row>
    <row r="101" spans="1:12" s="1" customFormat="1" ht="12.75">
      <c r="A101" s="246"/>
      <c r="B101" s="213"/>
      <c r="C101" s="72"/>
      <c r="D101" s="72"/>
      <c r="E101" s="204"/>
      <c r="F101" s="97">
        <f aca="true" t="shared" si="12" ref="F101:F119">IF(D101=0,(IF(C101=0,E101,C101*E101)),(IF(C101=0,E101*D101,C101*D101*E101)))</f>
        <v>0</v>
      </c>
      <c r="G101" s="41"/>
      <c r="H101" s="367"/>
      <c r="I101" s="175">
        <f aca="true" t="shared" si="13" ref="I101:I119">IF(H101&lt;&gt;"",(F101*mvalav)-F101,"")</f>
      </c>
      <c r="J101" s="288"/>
      <c r="K101" s="199"/>
      <c r="L101" s="199"/>
    </row>
    <row r="102" spans="1:12" s="1" customFormat="1" ht="12.75">
      <c r="A102" s="246"/>
      <c r="B102" s="213"/>
      <c r="C102" s="72"/>
      <c r="D102" s="72"/>
      <c r="E102" s="204"/>
      <c r="F102" s="97">
        <f t="shared" si="12"/>
        <v>0</v>
      </c>
      <c r="G102" s="41"/>
      <c r="H102" s="367"/>
      <c r="I102" s="175">
        <f t="shared" si="13"/>
      </c>
      <c r="J102" s="288"/>
      <c r="K102" s="199"/>
      <c r="L102" s="199"/>
    </row>
    <row r="103" spans="1:12" s="1" customFormat="1" ht="12.75">
      <c r="A103" s="246"/>
      <c r="B103" s="213"/>
      <c r="C103" s="72"/>
      <c r="D103" s="72"/>
      <c r="E103" s="204"/>
      <c r="F103" s="97">
        <f t="shared" si="12"/>
        <v>0</v>
      </c>
      <c r="G103" s="41"/>
      <c r="H103" s="367"/>
      <c r="I103" s="175">
        <f t="shared" si="13"/>
      </c>
      <c r="J103" s="288"/>
      <c r="K103" s="199"/>
      <c r="L103" s="199"/>
    </row>
    <row r="104" spans="1:12" s="1" customFormat="1" ht="12.75">
      <c r="A104" s="246"/>
      <c r="B104" s="213"/>
      <c r="C104" s="72"/>
      <c r="D104" s="72"/>
      <c r="E104" s="204"/>
      <c r="F104" s="97">
        <f t="shared" si="12"/>
        <v>0</v>
      </c>
      <c r="G104" s="41"/>
      <c r="H104" s="367"/>
      <c r="I104" s="175">
        <f t="shared" si="13"/>
      </c>
      <c r="J104" s="288"/>
      <c r="K104" s="199"/>
      <c r="L104" s="199"/>
    </row>
    <row r="105" spans="1:12" s="1" customFormat="1" ht="12.75">
      <c r="A105" s="246"/>
      <c r="B105" s="213"/>
      <c r="C105" s="72"/>
      <c r="D105" s="72"/>
      <c r="E105" s="204"/>
      <c r="F105" s="97">
        <f t="shared" si="12"/>
        <v>0</v>
      </c>
      <c r="G105" s="41"/>
      <c r="H105" s="367"/>
      <c r="I105" s="175">
        <f t="shared" si="13"/>
      </c>
      <c r="J105" s="288"/>
      <c r="K105" s="199"/>
      <c r="L105" s="199"/>
    </row>
    <row r="106" spans="1:12" s="1" customFormat="1" ht="12.75">
      <c r="A106" s="246"/>
      <c r="B106" s="213"/>
      <c r="C106" s="72"/>
      <c r="D106" s="72"/>
      <c r="E106" s="204"/>
      <c r="F106" s="97">
        <f t="shared" si="12"/>
        <v>0</v>
      </c>
      <c r="G106" s="41"/>
      <c r="H106" s="367"/>
      <c r="I106" s="175">
        <f t="shared" si="13"/>
      </c>
      <c r="J106" s="288"/>
      <c r="K106" s="199"/>
      <c r="L106" s="199"/>
    </row>
    <row r="107" spans="1:12" s="1" customFormat="1" ht="12.75">
      <c r="A107" s="246"/>
      <c r="B107" s="213"/>
      <c r="C107" s="72"/>
      <c r="D107" s="72"/>
      <c r="E107" s="204"/>
      <c r="F107" s="97">
        <f t="shared" si="12"/>
        <v>0</v>
      </c>
      <c r="G107" s="41"/>
      <c r="H107" s="367"/>
      <c r="I107" s="175">
        <f t="shared" si="13"/>
      </c>
      <c r="J107" s="288"/>
      <c r="K107" s="199"/>
      <c r="L107" s="199"/>
    </row>
    <row r="108" spans="1:12" s="1" customFormat="1" ht="12.75">
      <c r="A108" s="246"/>
      <c r="B108" s="213"/>
      <c r="C108" s="72"/>
      <c r="D108" s="72"/>
      <c r="E108" s="204"/>
      <c r="F108" s="97">
        <f t="shared" si="12"/>
        <v>0</v>
      </c>
      <c r="G108" s="41"/>
      <c r="H108" s="367"/>
      <c r="I108" s="175">
        <f t="shared" si="13"/>
      </c>
      <c r="J108" s="288"/>
      <c r="K108" s="199"/>
      <c r="L108" s="199"/>
    </row>
    <row r="109" spans="1:12" s="1" customFormat="1" ht="12.75">
      <c r="A109" s="246"/>
      <c r="B109" s="213"/>
      <c r="C109" s="72"/>
      <c r="D109" s="72"/>
      <c r="E109" s="204"/>
      <c r="F109" s="97">
        <f t="shared" si="12"/>
        <v>0</v>
      </c>
      <c r="G109" s="41"/>
      <c r="H109" s="367"/>
      <c r="I109" s="175">
        <f t="shared" si="13"/>
      </c>
      <c r="J109" s="288"/>
      <c r="K109" s="199"/>
      <c r="L109" s="199"/>
    </row>
    <row r="110" spans="1:12" s="1" customFormat="1" ht="12.75">
      <c r="A110" s="246"/>
      <c r="B110" s="213"/>
      <c r="C110" s="72"/>
      <c r="D110" s="72"/>
      <c r="E110" s="204"/>
      <c r="F110" s="97">
        <f t="shared" si="12"/>
        <v>0</v>
      </c>
      <c r="G110" s="41"/>
      <c r="H110" s="367"/>
      <c r="I110" s="175">
        <f t="shared" si="13"/>
      </c>
      <c r="J110" s="288"/>
      <c r="K110" s="199"/>
      <c r="L110" s="199"/>
    </row>
    <row r="111" spans="1:12" s="1" customFormat="1" ht="12.75">
      <c r="A111" s="246"/>
      <c r="B111" s="213"/>
      <c r="C111" s="72"/>
      <c r="D111" s="72"/>
      <c r="E111" s="204"/>
      <c r="F111" s="97">
        <f t="shared" si="12"/>
        <v>0</v>
      </c>
      <c r="G111" s="41"/>
      <c r="H111" s="367"/>
      <c r="I111" s="175">
        <f t="shared" si="13"/>
      </c>
      <c r="J111" s="288"/>
      <c r="K111" s="199"/>
      <c r="L111" s="199"/>
    </row>
    <row r="112" spans="1:12" s="1" customFormat="1" ht="12.75">
      <c r="A112" s="246"/>
      <c r="B112" s="213"/>
      <c r="C112" s="72"/>
      <c r="D112" s="72"/>
      <c r="E112" s="204"/>
      <c r="F112" s="97">
        <f t="shared" si="12"/>
        <v>0</v>
      </c>
      <c r="G112" s="41"/>
      <c r="H112" s="367"/>
      <c r="I112" s="175">
        <f t="shared" si="13"/>
      </c>
      <c r="J112" s="288"/>
      <c r="K112" s="199"/>
      <c r="L112" s="199"/>
    </row>
    <row r="113" spans="1:12" s="1" customFormat="1" ht="12.75">
      <c r="A113" s="246"/>
      <c r="B113" s="213"/>
      <c r="C113" s="72"/>
      <c r="D113" s="72"/>
      <c r="E113" s="204"/>
      <c r="F113" s="97">
        <f t="shared" si="12"/>
        <v>0</v>
      </c>
      <c r="G113" s="41"/>
      <c r="H113" s="367"/>
      <c r="I113" s="175">
        <f t="shared" si="13"/>
      </c>
      <c r="J113" s="288"/>
      <c r="K113" s="199"/>
      <c r="L113" s="199"/>
    </row>
    <row r="114" spans="1:12" s="1" customFormat="1" ht="12.75">
      <c r="A114" s="246"/>
      <c r="B114" s="213"/>
      <c r="C114" s="72"/>
      <c r="D114" s="72"/>
      <c r="E114" s="204"/>
      <c r="F114" s="97">
        <f t="shared" si="12"/>
        <v>0</v>
      </c>
      <c r="G114" s="41"/>
      <c r="H114" s="367"/>
      <c r="I114" s="175">
        <f t="shared" si="13"/>
      </c>
      <c r="J114" s="288"/>
      <c r="K114" s="199"/>
      <c r="L114" s="199"/>
    </row>
    <row r="115" spans="1:12" s="1" customFormat="1" ht="12.75">
      <c r="A115" s="246"/>
      <c r="B115" s="213"/>
      <c r="C115" s="72"/>
      <c r="D115" s="72"/>
      <c r="E115" s="204"/>
      <c r="F115" s="97">
        <f t="shared" si="12"/>
        <v>0</v>
      </c>
      <c r="G115" s="41"/>
      <c r="H115" s="367"/>
      <c r="I115" s="175">
        <f t="shared" si="13"/>
      </c>
      <c r="J115" s="288"/>
      <c r="K115" s="199"/>
      <c r="L115" s="199"/>
    </row>
    <row r="116" spans="1:12" s="1" customFormat="1" ht="12.75">
      <c r="A116" s="246"/>
      <c r="B116" s="213"/>
      <c r="C116" s="72"/>
      <c r="D116" s="72"/>
      <c r="E116" s="204"/>
      <c r="F116" s="97">
        <f t="shared" si="12"/>
        <v>0</v>
      </c>
      <c r="G116" s="41"/>
      <c r="H116" s="367"/>
      <c r="I116" s="175">
        <f t="shared" si="13"/>
      </c>
      <c r="J116" s="288"/>
      <c r="K116" s="199"/>
      <c r="L116" s="199"/>
    </row>
    <row r="117" spans="1:12" s="1" customFormat="1" ht="12.75">
      <c r="A117" s="246"/>
      <c r="B117" s="213"/>
      <c r="C117" s="72"/>
      <c r="D117" s="72"/>
      <c r="E117" s="204"/>
      <c r="F117" s="97">
        <f t="shared" si="12"/>
        <v>0</v>
      </c>
      <c r="G117" s="41"/>
      <c r="H117" s="367"/>
      <c r="I117" s="175">
        <f t="shared" si="13"/>
      </c>
      <c r="J117" s="288"/>
      <c r="K117" s="199"/>
      <c r="L117" s="199"/>
    </row>
    <row r="118" spans="1:12" s="1" customFormat="1" ht="12.75">
      <c r="A118" s="246"/>
      <c r="B118" s="213"/>
      <c r="C118" s="72"/>
      <c r="D118" s="72"/>
      <c r="E118" s="204"/>
      <c r="F118" s="97">
        <f t="shared" si="12"/>
        <v>0</v>
      </c>
      <c r="G118" s="41"/>
      <c r="H118" s="367"/>
      <c r="I118" s="175">
        <f t="shared" si="13"/>
      </c>
      <c r="J118" s="288"/>
      <c r="K118" s="199"/>
      <c r="L118" s="199"/>
    </row>
    <row r="119" spans="1:12" s="1" customFormat="1" ht="12.75">
      <c r="A119" s="246"/>
      <c r="B119" s="213"/>
      <c r="C119" s="72"/>
      <c r="D119" s="72"/>
      <c r="E119" s="204"/>
      <c r="F119" s="209">
        <f t="shared" si="12"/>
        <v>0</v>
      </c>
      <c r="G119" s="41"/>
      <c r="H119" s="367"/>
      <c r="I119" s="175">
        <f t="shared" si="13"/>
      </c>
      <c r="J119" s="288"/>
      <c r="K119" s="199"/>
      <c r="L119" s="199"/>
    </row>
    <row r="120" spans="3:12" ht="13.5" thickBot="1">
      <c r="C120" s="48"/>
      <c r="D120" s="64"/>
      <c r="E120" s="35" t="s">
        <v>570</v>
      </c>
      <c r="F120" s="202">
        <f>SUM(F100:F119)</f>
        <v>0</v>
      </c>
      <c r="G120" s="41"/>
      <c r="H120" s="1"/>
      <c r="I120" s="202">
        <f>SUM(I100:I119)</f>
        <v>0</v>
      </c>
      <c r="J120" s="41"/>
      <c r="K120" s="199"/>
      <c r="L120" s="199"/>
    </row>
    <row r="121" spans="3:12" ht="13.5" thickTop="1">
      <c r="C121" s="48"/>
      <c r="D121" s="64"/>
      <c r="E121" s="35"/>
      <c r="F121" s="41"/>
      <c r="G121" s="41"/>
      <c r="H121" s="1"/>
      <c r="I121" s="41"/>
      <c r="J121" s="41"/>
      <c r="K121" s="199"/>
      <c r="L121" s="199"/>
    </row>
    <row r="122" spans="3:12" ht="12.75">
      <c r="C122" s="48"/>
      <c r="D122" s="64"/>
      <c r="E122" s="35"/>
      <c r="F122" s="41"/>
      <c r="G122" s="41"/>
      <c r="H122" s="1"/>
      <c r="I122" s="41"/>
      <c r="J122" s="41"/>
      <c r="K122" s="199"/>
      <c r="L122" s="199"/>
    </row>
    <row r="123" spans="1:12" ht="12.75">
      <c r="A123" s="224">
        <v>449098</v>
      </c>
      <c r="B123" t="s">
        <v>664</v>
      </c>
      <c r="C123" s="33" t="s">
        <v>422</v>
      </c>
      <c r="D123" s="65" t="s">
        <v>423</v>
      </c>
      <c r="E123" s="33" t="s">
        <v>424</v>
      </c>
      <c r="F123" s="33" t="s">
        <v>425</v>
      </c>
      <c r="G123" s="33"/>
      <c r="K123" s="199"/>
      <c r="L123" s="199"/>
    </row>
    <row r="124" spans="1:12" s="1" customFormat="1" ht="12.75">
      <c r="A124" s="246"/>
      <c r="B124" s="213"/>
      <c r="C124" s="72"/>
      <c r="D124" s="72"/>
      <c r="E124" s="204"/>
      <c r="F124" s="96">
        <f>IF(D124=0,(IF(C124=0,E124,C124*E124)),(IF(C124=0,E124*D124,C124*D124*E124)))</f>
        <v>0</v>
      </c>
      <c r="G124" s="41"/>
      <c r="H124" s="367"/>
      <c r="I124" s="175">
        <f>IF(H124&lt;&gt;"",(F124*mva)-F124,"")</f>
      </c>
      <c r="J124" s="288"/>
      <c r="K124" s="199"/>
      <c r="L124" s="199"/>
    </row>
    <row r="125" spans="1:12" s="1" customFormat="1" ht="12.75">
      <c r="A125" s="246"/>
      <c r="B125" s="213"/>
      <c r="C125" s="72"/>
      <c r="D125" s="72"/>
      <c r="E125" s="204"/>
      <c r="F125" s="97">
        <f aca="true" t="shared" si="14" ref="F125:F143">IF(D125=0,(IF(C125=0,E125,C125*E125)),(IF(C125=0,E125*D125,C125*D125*E125)))</f>
        <v>0</v>
      </c>
      <c r="G125" s="41"/>
      <c r="H125" s="367"/>
      <c r="I125" s="175">
        <f aca="true" t="shared" si="15" ref="I125:I143">IF(H125&lt;&gt;"",(F125*mva)-F125,"")</f>
      </c>
      <c r="J125" s="288"/>
      <c r="K125" s="199"/>
      <c r="L125" s="199"/>
    </row>
    <row r="126" spans="1:12" s="1" customFormat="1" ht="12.75">
      <c r="A126" s="246"/>
      <c r="B126" s="213"/>
      <c r="C126" s="72"/>
      <c r="D126" s="72"/>
      <c r="E126" s="204"/>
      <c r="F126" s="97">
        <f t="shared" si="14"/>
        <v>0</v>
      </c>
      <c r="G126" s="41"/>
      <c r="H126" s="367"/>
      <c r="I126" s="175">
        <f t="shared" si="15"/>
      </c>
      <c r="J126" s="288"/>
      <c r="K126" s="199"/>
      <c r="L126" s="199"/>
    </row>
    <row r="127" spans="1:12" s="1" customFormat="1" ht="12.75">
      <c r="A127" s="246"/>
      <c r="B127" s="213"/>
      <c r="C127" s="72"/>
      <c r="D127" s="72"/>
      <c r="E127" s="204"/>
      <c r="F127" s="97">
        <f t="shared" si="14"/>
        <v>0</v>
      </c>
      <c r="G127" s="41"/>
      <c r="H127" s="367"/>
      <c r="I127" s="175">
        <f t="shared" si="15"/>
      </c>
      <c r="J127" s="288"/>
      <c r="K127" s="199"/>
      <c r="L127" s="199"/>
    </row>
    <row r="128" spans="1:12" s="1" customFormat="1" ht="12.75">
      <c r="A128" s="246"/>
      <c r="B128" s="213"/>
      <c r="C128" s="72"/>
      <c r="D128" s="72"/>
      <c r="E128" s="204"/>
      <c r="F128" s="97">
        <f t="shared" si="14"/>
        <v>0</v>
      </c>
      <c r="G128" s="41"/>
      <c r="H128" s="367"/>
      <c r="I128" s="175">
        <f t="shared" si="15"/>
      </c>
      <c r="J128" s="288"/>
      <c r="K128" s="199"/>
      <c r="L128" s="199"/>
    </row>
    <row r="129" spans="1:12" s="1" customFormat="1" ht="12.75">
      <c r="A129" s="246"/>
      <c r="B129" s="213"/>
      <c r="C129" s="72"/>
      <c r="D129" s="72"/>
      <c r="E129" s="204"/>
      <c r="F129" s="97">
        <f t="shared" si="14"/>
        <v>0</v>
      </c>
      <c r="G129" s="41"/>
      <c r="H129" s="367"/>
      <c r="I129" s="175">
        <f t="shared" si="15"/>
      </c>
      <c r="J129" s="288"/>
      <c r="K129" s="199"/>
      <c r="L129" s="199"/>
    </row>
    <row r="130" spans="1:12" s="1" customFormat="1" ht="12.75">
      <c r="A130" s="246"/>
      <c r="B130" s="213"/>
      <c r="C130" s="72"/>
      <c r="D130" s="72"/>
      <c r="E130" s="204"/>
      <c r="F130" s="97">
        <f t="shared" si="14"/>
        <v>0</v>
      </c>
      <c r="G130" s="41"/>
      <c r="H130" s="367"/>
      <c r="I130" s="175">
        <f t="shared" si="15"/>
      </c>
      <c r="J130" s="288"/>
      <c r="K130" s="199"/>
      <c r="L130" s="199"/>
    </row>
    <row r="131" spans="1:12" s="1" customFormat="1" ht="12.75">
      <c r="A131" s="246"/>
      <c r="B131" s="213"/>
      <c r="C131" s="72"/>
      <c r="D131" s="72"/>
      <c r="E131" s="204"/>
      <c r="F131" s="97">
        <f t="shared" si="14"/>
        <v>0</v>
      </c>
      <c r="G131" s="41"/>
      <c r="H131" s="367"/>
      <c r="I131" s="175">
        <f t="shared" si="15"/>
      </c>
      <c r="J131" s="288"/>
      <c r="K131" s="199"/>
      <c r="L131" s="199"/>
    </row>
    <row r="132" spans="1:12" s="1" customFormat="1" ht="12.75">
      <c r="A132" s="246"/>
      <c r="B132" s="213"/>
      <c r="C132" s="72"/>
      <c r="D132" s="72"/>
      <c r="E132" s="204"/>
      <c r="F132" s="97">
        <f t="shared" si="14"/>
        <v>0</v>
      </c>
      <c r="G132" s="41"/>
      <c r="H132" s="367"/>
      <c r="I132" s="175">
        <f t="shared" si="15"/>
      </c>
      <c r="J132" s="288"/>
      <c r="K132" s="199"/>
      <c r="L132" s="199"/>
    </row>
    <row r="133" spans="1:12" s="1" customFormat="1" ht="12.75">
      <c r="A133" s="246"/>
      <c r="B133" s="213"/>
      <c r="C133" s="72"/>
      <c r="D133" s="72"/>
      <c r="E133" s="204"/>
      <c r="F133" s="97">
        <f t="shared" si="14"/>
        <v>0</v>
      </c>
      <c r="G133" s="41"/>
      <c r="H133" s="367"/>
      <c r="I133" s="175">
        <f t="shared" si="15"/>
      </c>
      <c r="J133" s="288"/>
      <c r="K133" s="199"/>
      <c r="L133" s="199"/>
    </row>
    <row r="134" spans="1:12" s="1" customFormat="1" ht="12.75">
      <c r="A134" s="246"/>
      <c r="B134" s="213"/>
      <c r="C134" s="72"/>
      <c r="D134" s="72"/>
      <c r="E134" s="204"/>
      <c r="F134" s="97">
        <f t="shared" si="14"/>
        <v>0</v>
      </c>
      <c r="G134" s="41"/>
      <c r="H134" s="367"/>
      <c r="I134" s="175">
        <f t="shared" si="15"/>
      </c>
      <c r="J134" s="288"/>
      <c r="K134" s="199"/>
      <c r="L134" s="199"/>
    </row>
    <row r="135" spans="1:12" s="1" customFormat="1" ht="12.75">
      <c r="A135" s="246"/>
      <c r="B135" s="213"/>
      <c r="C135" s="72"/>
      <c r="D135" s="72"/>
      <c r="E135" s="204"/>
      <c r="F135" s="97">
        <f t="shared" si="14"/>
        <v>0</v>
      </c>
      <c r="G135" s="41"/>
      <c r="H135" s="367"/>
      <c r="I135" s="175">
        <f t="shared" si="15"/>
      </c>
      <c r="J135" s="288"/>
      <c r="K135" s="199"/>
      <c r="L135" s="199"/>
    </row>
    <row r="136" spans="1:12" s="1" customFormat="1" ht="12.75">
      <c r="A136" s="246"/>
      <c r="B136" s="213"/>
      <c r="C136" s="72"/>
      <c r="D136" s="72"/>
      <c r="E136" s="204"/>
      <c r="F136" s="97">
        <f t="shared" si="14"/>
        <v>0</v>
      </c>
      <c r="G136" s="41"/>
      <c r="H136" s="367"/>
      <c r="I136" s="175">
        <f t="shared" si="15"/>
      </c>
      <c r="J136" s="288"/>
      <c r="K136" s="199"/>
      <c r="L136" s="199"/>
    </row>
    <row r="137" spans="1:12" s="1" customFormat="1" ht="12.75">
      <c r="A137" s="246"/>
      <c r="B137" s="213"/>
      <c r="C137" s="72"/>
      <c r="D137" s="72"/>
      <c r="E137" s="204"/>
      <c r="F137" s="97">
        <f t="shared" si="14"/>
        <v>0</v>
      </c>
      <c r="G137" s="41"/>
      <c r="H137" s="367"/>
      <c r="I137" s="175">
        <f t="shared" si="15"/>
      </c>
      <c r="J137" s="288"/>
      <c r="K137" s="199"/>
      <c r="L137" s="199"/>
    </row>
    <row r="138" spans="1:12" s="1" customFormat="1" ht="12.75">
      <c r="A138" s="246"/>
      <c r="B138" s="213"/>
      <c r="C138" s="72"/>
      <c r="D138" s="72"/>
      <c r="E138" s="204"/>
      <c r="F138" s="97">
        <f t="shared" si="14"/>
        <v>0</v>
      </c>
      <c r="G138" s="41"/>
      <c r="H138" s="367"/>
      <c r="I138" s="175">
        <f t="shared" si="15"/>
      </c>
      <c r="J138" s="288"/>
      <c r="K138" s="199"/>
      <c r="L138" s="199"/>
    </row>
    <row r="139" spans="1:12" s="1" customFormat="1" ht="12.75">
      <c r="A139" s="246"/>
      <c r="B139" s="213"/>
      <c r="C139" s="72"/>
      <c r="D139" s="72"/>
      <c r="E139" s="204"/>
      <c r="F139" s="97">
        <f t="shared" si="14"/>
        <v>0</v>
      </c>
      <c r="G139" s="41"/>
      <c r="H139" s="367"/>
      <c r="I139" s="175">
        <f t="shared" si="15"/>
      </c>
      <c r="J139" s="288"/>
      <c r="K139" s="199"/>
      <c r="L139" s="199"/>
    </row>
    <row r="140" spans="1:12" s="1" customFormat="1" ht="12.75">
      <c r="A140" s="246"/>
      <c r="B140" s="213"/>
      <c r="C140" s="72"/>
      <c r="D140" s="72"/>
      <c r="E140" s="204"/>
      <c r="F140" s="97">
        <f t="shared" si="14"/>
        <v>0</v>
      </c>
      <c r="G140" s="41"/>
      <c r="H140" s="367"/>
      <c r="I140" s="175">
        <f t="shared" si="15"/>
      </c>
      <c r="J140" s="288"/>
      <c r="K140" s="199"/>
      <c r="L140" s="199"/>
    </row>
    <row r="141" spans="1:12" s="1" customFormat="1" ht="12.75">
      <c r="A141" s="246"/>
      <c r="B141" s="213"/>
      <c r="C141" s="72"/>
      <c r="D141" s="72"/>
      <c r="E141" s="204"/>
      <c r="F141" s="97">
        <f t="shared" si="14"/>
        <v>0</v>
      </c>
      <c r="G141" s="41"/>
      <c r="H141" s="367"/>
      <c r="I141" s="175">
        <f t="shared" si="15"/>
      </c>
      <c r="J141" s="288"/>
      <c r="K141" s="199"/>
      <c r="L141" s="199"/>
    </row>
    <row r="142" spans="1:12" s="1" customFormat="1" ht="12.75">
      <c r="A142" s="246"/>
      <c r="B142" s="213"/>
      <c r="C142" s="72"/>
      <c r="D142" s="72"/>
      <c r="E142" s="204"/>
      <c r="F142" s="97">
        <f t="shared" si="14"/>
        <v>0</v>
      </c>
      <c r="G142" s="41"/>
      <c r="H142" s="367"/>
      <c r="I142" s="175">
        <f t="shared" si="15"/>
      </c>
      <c r="J142" s="288"/>
      <c r="K142" s="199"/>
      <c r="L142" s="199"/>
    </row>
    <row r="143" spans="1:12" s="1" customFormat="1" ht="12.75">
      <c r="A143" s="246"/>
      <c r="B143" s="213"/>
      <c r="C143" s="72"/>
      <c r="D143" s="72"/>
      <c r="E143" s="204"/>
      <c r="F143" s="209">
        <f t="shared" si="14"/>
        <v>0</v>
      </c>
      <c r="G143" s="41"/>
      <c r="H143" s="367"/>
      <c r="I143" s="175">
        <f t="shared" si="15"/>
      </c>
      <c r="J143" s="288"/>
      <c r="K143" s="199"/>
      <c r="L143" s="199"/>
    </row>
    <row r="144" spans="3:12" ht="13.5" thickBot="1">
      <c r="C144" s="48"/>
      <c r="D144" s="64"/>
      <c r="E144" s="35" t="s">
        <v>570</v>
      </c>
      <c r="F144" s="202">
        <f>SUM(F124:F143)</f>
        <v>0</v>
      </c>
      <c r="G144" s="41"/>
      <c r="H144" s="1"/>
      <c r="I144" s="202">
        <f>SUM(I124:I143)</f>
        <v>0</v>
      </c>
      <c r="J144" s="41"/>
      <c r="K144" s="199"/>
      <c r="L144" s="199"/>
    </row>
    <row r="145" spans="3:12" ht="13.5" thickTop="1">
      <c r="C145" s="48"/>
      <c r="D145" s="64"/>
      <c r="E145" s="35"/>
      <c r="F145" s="41"/>
      <c r="G145" s="41"/>
      <c r="H145" s="1"/>
      <c r="I145" s="41"/>
      <c r="J145" s="41"/>
      <c r="K145" s="199"/>
      <c r="L145" s="199"/>
    </row>
    <row r="146" spans="3:12" ht="12.75">
      <c r="C146" s="48"/>
      <c r="D146" s="64"/>
      <c r="E146" s="35"/>
      <c r="F146" s="41"/>
      <c r="G146" s="41"/>
      <c r="H146" s="1"/>
      <c r="I146" s="41"/>
      <c r="J146" s="41"/>
      <c r="K146" s="199"/>
      <c r="L146" s="199"/>
    </row>
    <row r="147" spans="1:12" ht="255" customHeight="1">
      <c r="A147" s="199"/>
      <c r="B147" s="199"/>
      <c r="C147" s="199"/>
      <c r="D147" s="199"/>
      <c r="E147" s="199"/>
      <c r="F147" s="199"/>
      <c r="G147" s="199"/>
      <c r="H147" s="199"/>
      <c r="I147" s="199"/>
      <c r="J147" s="199"/>
      <c r="K147" s="199"/>
      <c r="L147" s="199"/>
    </row>
    <row r="148" spans="1:12" ht="12.75">
      <c r="A148" s="199"/>
      <c r="B148" s="199"/>
      <c r="C148" s="199"/>
      <c r="D148" s="199"/>
      <c r="E148" s="199"/>
      <c r="F148" s="199"/>
      <c r="G148" s="199"/>
      <c r="H148" s="199"/>
      <c r="I148" s="199"/>
      <c r="J148" s="199"/>
      <c r="K148" s="199"/>
      <c r="L148" s="199"/>
    </row>
  </sheetData>
  <sheetProtection sheet="1" objects="1" scenarios="1"/>
  <conditionalFormatting sqref="H4:H23 H28:H47 H52:H71 H76:H95 H100:H119 H124:H143">
    <cfRule type="expression" priority="1" dxfId="0" stopIfTrue="1">
      <formula>SPESIFIKASJONER!#REF!=mva</formula>
    </cfRule>
  </conditionalFormatting>
  <dataValidations count="2">
    <dataValidation type="custom" allowBlank="1" showInputMessage="1" showErrorMessage="1" error="Du har allerede lagt inn MVA på denne posten!&#10;&#10;Slette eventuelt mva i X kolonnen." sqref="H4:H23 H28:H47 H52:H71 H76:H95 H100:H119 H124:H143">
      <formula1>SPESIFIKASJONER!#REF!&lt;&gt;"=mva"</formula1>
    </dataValidation>
    <dataValidation errorStyle="information" type="custom" allowBlank="1" showInputMessage="1" showErrorMessage="1" errorTitle="ADVARSEL" error="Det er allerede krysset av for MVA på denne posten.&#10;&#10;Om du allikevel vil legge inn noe her, velg &quot; OK&quot;" sqref="D4:D23 D28:D47 D52:D71 D76:D95 D100:D119 D124:D143">
      <formula1>SPESIFIKASJONER!H4=""</formula1>
    </dataValidation>
  </dataValidations>
  <printOptions/>
  <pageMargins left="0.5905511811023623" right="0.1968503937007874" top="0.7086614173228347" bottom="0.5905511811023623" header="0.31496062992125984" footer="0.2362204724409449"/>
  <pageSetup blackAndWhite="1" fitToHeight="0" horizontalDpi="600" verticalDpi="600" orientation="portrait" paperSize="9"/>
  <headerFooter alignWithMargins="0">
    <oddFooter>&amp;L&amp;"Arial,Normal"&amp;6Norsk filminstitutt filmkalkyle v. 8 av 20.03.13 &amp;C&amp;"Arial,Normal"&amp;5Utskrevet &amp;D &amp;T</oddFooter>
  </headerFooter>
  <rowBreaks count="2" manualBreakCount="2">
    <brk id="50" max="8" man="1"/>
    <brk id="98" max="8" man="1"/>
  </rowBreaks>
  <legacyDrawing r:id="rId1"/>
</worksheet>
</file>

<file path=xl/worksheets/sheet8.xml><?xml version="1.0" encoding="utf-8"?>
<worksheet xmlns="http://schemas.openxmlformats.org/spreadsheetml/2006/main" xmlns:r="http://schemas.openxmlformats.org/officeDocument/2006/relationships">
  <sheetPr codeName="Ark14">
    <pageSetUpPr fitToPage="1"/>
  </sheetPr>
  <dimension ref="A1:K45"/>
  <sheetViews>
    <sheetView showGridLines="0" showRowColHeaders="0" showZeros="0" showOutlineSymbols="0" zoomScale="75" zoomScaleNormal="75" workbookViewId="0" topLeftCell="A1">
      <selection activeCell="J26" sqref="J26"/>
    </sheetView>
  </sheetViews>
  <sheetFormatPr defaultColWidth="9.140625" defaultRowHeight="12.75"/>
  <cols>
    <col min="1" max="1" width="8.140625" style="170" customWidth="1"/>
    <col min="2" max="2" width="3.140625" style="24" customWidth="1"/>
    <col min="3" max="3" width="5.8515625" style="23" customWidth="1"/>
    <col min="4" max="4" width="28.28125" style="23" customWidth="1"/>
    <col min="5" max="5" width="11.7109375" style="7" customWidth="1"/>
    <col min="6" max="6" width="12.7109375" style="7" customWidth="1"/>
    <col min="7" max="7" width="4.8515625" style="23" customWidth="1"/>
    <col min="8" max="8" width="9.7109375" style="86" customWidth="1"/>
    <col min="9" max="9" width="3.421875" style="86" customWidth="1"/>
    <col min="10" max="10" width="92.00390625" style="23" customWidth="1"/>
    <col min="11" max="11" width="9.140625" style="23" customWidth="1"/>
    <col min="12" max="16384" width="9.140625" style="170" customWidth="1"/>
  </cols>
  <sheetData>
    <row r="1" spans="1:11" ht="16.5">
      <c r="A1" s="468"/>
      <c r="B1" s="469"/>
      <c r="C1" s="468"/>
      <c r="D1" s="468"/>
      <c r="E1" s="470"/>
      <c r="F1" s="470"/>
      <c r="G1" s="468"/>
      <c r="H1" s="471"/>
      <c r="I1" s="471"/>
      <c r="J1" s="149"/>
      <c r="K1" s="149"/>
    </row>
    <row r="2" spans="1:11" ht="16.5">
      <c r="A2" s="468"/>
      <c r="B2" s="472" t="s">
        <v>733</v>
      </c>
      <c r="C2" s="473"/>
      <c r="D2" s="473"/>
      <c r="E2" s="474"/>
      <c r="F2" s="474"/>
      <c r="G2" s="475"/>
      <c r="H2" s="471"/>
      <c r="I2" s="471"/>
      <c r="J2" s="149"/>
      <c r="K2" s="149"/>
    </row>
    <row r="3" spans="1:11" ht="16.5">
      <c r="A3" s="468"/>
      <c r="B3" s="476"/>
      <c r="C3" s="473"/>
      <c r="D3" s="473"/>
      <c r="E3" s="474"/>
      <c r="F3" s="474"/>
      <c r="G3" s="475"/>
      <c r="H3" s="471"/>
      <c r="I3" s="471"/>
      <c r="J3" s="149"/>
      <c r="K3" s="149"/>
    </row>
    <row r="4" spans="1:11" ht="16.5">
      <c r="A4" s="468"/>
      <c r="B4" s="475" t="s">
        <v>624</v>
      </c>
      <c r="C4" s="475"/>
      <c r="D4" s="475">
        <f>FORUTSETNINGER!C4</f>
        <v>0</v>
      </c>
      <c r="E4" s="474"/>
      <c r="F4" s="474"/>
      <c r="G4" s="475"/>
      <c r="H4" s="471"/>
      <c r="I4" s="471"/>
      <c r="J4" s="149"/>
      <c r="K4" s="149"/>
    </row>
    <row r="5" spans="1:11" ht="16.5">
      <c r="A5" s="468"/>
      <c r="B5" s="475"/>
      <c r="C5" s="475"/>
      <c r="D5" s="475"/>
      <c r="E5" s="474"/>
      <c r="F5" s="474"/>
      <c r="G5" s="475"/>
      <c r="H5" s="471"/>
      <c r="I5" s="471"/>
      <c r="J5" s="149"/>
      <c r="K5" s="149"/>
    </row>
    <row r="6" spans="1:11" ht="16.5">
      <c r="A6" s="468"/>
      <c r="B6" s="475" t="s">
        <v>625</v>
      </c>
      <c r="C6" s="475"/>
      <c r="D6" s="477">
        <f>FORUTSETNINGER!C8</f>
        <v>0</v>
      </c>
      <c r="E6" s="474"/>
      <c r="F6" s="474"/>
      <c r="G6" s="475"/>
      <c r="H6" s="471"/>
      <c r="I6" s="471"/>
      <c r="J6" s="149"/>
      <c r="K6" s="149"/>
    </row>
    <row r="7" spans="1:11" ht="16.5">
      <c r="A7" s="468"/>
      <c r="B7" s="476"/>
      <c r="C7" s="473"/>
      <c r="D7" s="473"/>
      <c r="E7" s="474"/>
      <c r="F7" s="474"/>
      <c r="G7" s="475"/>
      <c r="H7" s="471"/>
      <c r="I7" s="471"/>
      <c r="J7" s="149"/>
      <c r="K7" s="149"/>
    </row>
    <row r="8" spans="1:11" ht="16.5">
      <c r="A8" s="468"/>
      <c r="B8" s="478"/>
      <c r="C8" s="475"/>
      <c r="D8" s="475"/>
      <c r="E8" s="474"/>
      <c r="F8" s="474"/>
      <c r="G8" s="475"/>
      <c r="H8" s="458" t="s">
        <v>688</v>
      </c>
      <c r="I8" s="471"/>
      <c r="J8" s="149"/>
      <c r="K8" s="149"/>
    </row>
    <row r="9" spans="1:11" ht="16.5" customHeight="1">
      <c r="A9" s="468"/>
      <c r="B9" s="479" t="s">
        <v>462</v>
      </c>
      <c r="C9" s="475" t="s">
        <v>463</v>
      </c>
      <c r="D9" s="475"/>
      <c r="E9" s="480">
        <f>ROUND(SumSK10,0)</f>
        <v>0</v>
      </c>
      <c r="F9" s="474"/>
      <c r="G9" s="475"/>
      <c r="H9" s="481">
        <f>ESTIMAT!Mva_10</f>
        <v>0</v>
      </c>
      <c r="I9" s="471"/>
      <c r="J9" s="149"/>
      <c r="K9" s="149"/>
    </row>
    <row r="10" spans="1:11" ht="16.5">
      <c r="A10" s="468"/>
      <c r="B10" s="479" t="s">
        <v>464</v>
      </c>
      <c r="C10" s="475" t="s">
        <v>465</v>
      </c>
      <c r="D10" s="475"/>
      <c r="E10" s="480">
        <f>ROUND(SumSK11,0)</f>
        <v>0</v>
      </c>
      <c r="F10" s="474"/>
      <c r="G10" s="475"/>
      <c r="H10" s="481">
        <f>ESTIMAT!Mva_11</f>
        <v>0</v>
      </c>
      <c r="I10" s="471"/>
      <c r="J10" s="149"/>
      <c r="K10" s="149"/>
    </row>
    <row r="11" spans="1:11" ht="16.5">
      <c r="A11" s="468"/>
      <c r="B11" s="479"/>
      <c r="C11" s="482" t="s">
        <v>466</v>
      </c>
      <c r="D11" s="482"/>
      <c r="E11" s="483" t="s">
        <v>467</v>
      </c>
      <c r="F11" s="480">
        <f>SUM(E9:E10)</f>
        <v>0</v>
      </c>
      <c r="G11" s="475"/>
      <c r="H11" s="484"/>
      <c r="I11" s="484"/>
      <c r="J11" s="149"/>
      <c r="K11" s="149"/>
    </row>
    <row r="12" spans="1:11" ht="16.5">
      <c r="A12" s="468"/>
      <c r="B12" s="479" t="s">
        <v>468</v>
      </c>
      <c r="C12" s="475" t="s">
        <v>469</v>
      </c>
      <c r="D12" s="475"/>
      <c r="E12" s="480">
        <f>ROUND(SumSK21,0)</f>
        <v>0</v>
      </c>
      <c r="F12" s="474"/>
      <c r="G12" s="475"/>
      <c r="H12" s="481">
        <f>ESTIMAT!Mva_21</f>
        <v>0</v>
      </c>
      <c r="I12" s="471"/>
      <c r="J12" s="149"/>
      <c r="K12" s="149"/>
    </row>
    <row r="13" spans="1:11" ht="16.5">
      <c r="A13" s="468"/>
      <c r="B13" s="479" t="s">
        <v>470</v>
      </c>
      <c r="C13" s="475" t="s">
        <v>471</v>
      </c>
      <c r="D13" s="475"/>
      <c r="E13" s="480">
        <f>ROUND(SumSK31,0)</f>
        <v>0</v>
      </c>
      <c r="F13" s="474"/>
      <c r="G13" s="475"/>
      <c r="H13" s="481">
        <f>ESTIMAT!Mva_31</f>
        <v>0</v>
      </c>
      <c r="I13" s="471"/>
      <c r="J13" s="149"/>
      <c r="K13" s="149"/>
    </row>
    <row r="14" spans="1:11" ht="16.5">
      <c r="A14" s="468"/>
      <c r="B14" s="479" t="s">
        <v>472</v>
      </c>
      <c r="C14" s="475" t="s">
        <v>473</v>
      </c>
      <c r="D14" s="475"/>
      <c r="E14" s="480">
        <f>ROUND(SumSK32,0)</f>
        <v>0</v>
      </c>
      <c r="F14" s="474"/>
      <c r="G14" s="475"/>
      <c r="H14" s="481">
        <f>ESTIMAT!Mva_32</f>
        <v>0</v>
      </c>
      <c r="I14" s="471"/>
      <c r="J14" s="149"/>
      <c r="K14" s="149"/>
    </row>
    <row r="15" spans="1:11" ht="16.5">
      <c r="A15" s="468"/>
      <c r="B15" s="479" t="s">
        <v>474</v>
      </c>
      <c r="C15" s="475" t="s">
        <v>475</v>
      </c>
      <c r="D15" s="475"/>
      <c r="E15" s="480">
        <f>ROUND(SumSK33,0)</f>
        <v>0</v>
      </c>
      <c r="F15" s="474"/>
      <c r="G15" s="475"/>
      <c r="H15" s="481">
        <f>ESTIMAT!Mva_33</f>
        <v>0</v>
      </c>
      <c r="I15" s="471"/>
      <c r="J15" s="149"/>
      <c r="K15" s="149"/>
    </row>
    <row r="16" spans="1:11" ht="16.5">
      <c r="A16" s="468"/>
      <c r="B16" s="479" t="s">
        <v>476</v>
      </c>
      <c r="C16" s="475" t="s">
        <v>477</v>
      </c>
      <c r="D16" s="475"/>
      <c r="E16" s="480">
        <f>ROUND(SumSK34,0)</f>
        <v>0</v>
      </c>
      <c r="F16" s="474"/>
      <c r="G16" s="475"/>
      <c r="H16" s="481">
        <f>ESTIMAT!Mva_34</f>
        <v>0</v>
      </c>
      <c r="I16" s="471"/>
      <c r="J16" s="149"/>
      <c r="K16" s="149"/>
    </row>
    <row r="17" spans="1:11" ht="16.5">
      <c r="A17" s="468"/>
      <c r="B17" s="479" t="s">
        <v>478</v>
      </c>
      <c r="C17" s="475" t="s">
        <v>479</v>
      </c>
      <c r="D17" s="475"/>
      <c r="E17" s="480">
        <f>ROUND(SumSK35,0)</f>
        <v>0</v>
      </c>
      <c r="F17" s="474"/>
      <c r="G17" s="475"/>
      <c r="H17" s="481">
        <f>ESTIMAT!Mva_35</f>
        <v>0</v>
      </c>
      <c r="I17" s="471"/>
      <c r="J17" s="149"/>
      <c r="K17" s="149"/>
    </row>
    <row r="18" spans="1:11" ht="16.5">
      <c r="A18" s="468"/>
      <c r="B18" s="479" t="s">
        <v>480</v>
      </c>
      <c r="C18" s="475" t="s">
        <v>481</v>
      </c>
      <c r="D18" s="475"/>
      <c r="E18" s="480">
        <f>ROUND(SumSK36,0)</f>
        <v>0</v>
      </c>
      <c r="F18" s="474"/>
      <c r="G18" s="475"/>
      <c r="H18" s="481">
        <f>ESTIMAT!Mva_36</f>
        <v>0</v>
      </c>
      <c r="I18" s="471"/>
      <c r="J18" s="149"/>
      <c r="K18" s="149"/>
    </row>
    <row r="19" spans="1:11" ht="16.5">
      <c r="A19" s="468"/>
      <c r="B19" s="479" t="s">
        <v>482</v>
      </c>
      <c r="C19" s="475" t="s">
        <v>483</v>
      </c>
      <c r="D19" s="475"/>
      <c r="E19" s="480">
        <f>ROUND(SumSK37,0)</f>
        <v>0</v>
      </c>
      <c r="F19" s="474"/>
      <c r="G19" s="475"/>
      <c r="H19" s="481">
        <f>ESTIMAT!Mva_37</f>
        <v>0</v>
      </c>
      <c r="I19" s="471"/>
      <c r="J19" s="149"/>
      <c r="K19" s="149"/>
    </row>
    <row r="20" spans="1:11" ht="16.5">
      <c r="A20" s="468"/>
      <c r="B20" s="479" t="s">
        <v>484</v>
      </c>
      <c r="C20" s="475" t="s">
        <v>485</v>
      </c>
      <c r="D20" s="475"/>
      <c r="E20" s="480">
        <f>ROUND(SumSK38,0)</f>
        <v>0</v>
      </c>
      <c r="F20" s="474"/>
      <c r="G20" s="475"/>
      <c r="H20" s="481">
        <f>ESTIMAT!Mva_38</f>
        <v>0</v>
      </c>
      <c r="I20" s="471"/>
      <c r="J20" s="149"/>
      <c r="K20" s="149"/>
    </row>
    <row r="21" spans="1:11" ht="16.5">
      <c r="A21" s="468"/>
      <c r="B21" s="479" t="s">
        <v>486</v>
      </c>
      <c r="C21" s="475" t="s">
        <v>487</v>
      </c>
      <c r="D21" s="475"/>
      <c r="E21" s="480">
        <f>ROUND(SumSK39,0)</f>
        <v>0</v>
      </c>
      <c r="F21" s="474"/>
      <c r="G21" s="475"/>
      <c r="H21" s="481">
        <f>ESTIMAT!Mva_39</f>
        <v>0</v>
      </c>
      <c r="I21" s="471"/>
      <c r="J21" s="149"/>
      <c r="K21" s="149"/>
    </row>
    <row r="22" spans="1:11" ht="16.5">
      <c r="A22" s="468"/>
      <c r="B22" s="479" t="s">
        <v>488</v>
      </c>
      <c r="C22" s="475" t="s">
        <v>489</v>
      </c>
      <c r="D22" s="475"/>
      <c r="E22" s="480">
        <f>ROUND(SumSK40,0)</f>
        <v>0</v>
      </c>
      <c r="F22" s="474"/>
      <c r="G22" s="475"/>
      <c r="H22" s="481">
        <f>ESTIMAT!Mva_40</f>
        <v>0</v>
      </c>
      <c r="I22" s="471"/>
      <c r="J22" s="149"/>
      <c r="K22" s="149"/>
    </row>
    <row r="23" spans="1:11" ht="16.5">
      <c r="A23" s="468"/>
      <c r="B23" s="479" t="s">
        <v>490</v>
      </c>
      <c r="C23" s="475" t="s">
        <v>491</v>
      </c>
      <c r="D23" s="475"/>
      <c r="E23" s="480">
        <f>ROUND(SumSK41,0)</f>
        <v>0</v>
      </c>
      <c r="F23" s="474"/>
      <c r="G23" s="475"/>
      <c r="H23" s="481">
        <f>ESTIMAT!Mva_41</f>
        <v>0</v>
      </c>
      <c r="I23" s="471"/>
      <c r="J23" s="149"/>
      <c r="K23" s="149"/>
    </row>
    <row r="24" spans="1:11" ht="16.5">
      <c r="A24" s="468"/>
      <c r="B24" s="479" t="s">
        <v>492</v>
      </c>
      <c r="C24" s="475" t="s">
        <v>493</v>
      </c>
      <c r="D24" s="475"/>
      <c r="E24" s="480">
        <f>ROUND(SumSK42,0)</f>
        <v>0</v>
      </c>
      <c r="F24" s="474"/>
      <c r="G24" s="475"/>
      <c r="H24" s="481">
        <f>ESTIMAT!Mva_42</f>
        <v>0</v>
      </c>
      <c r="I24" s="471"/>
      <c r="J24" s="149"/>
      <c r="K24" s="149"/>
    </row>
    <row r="25" spans="1:11" ht="16.5">
      <c r="A25" s="468"/>
      <c r="B25" s="479" t="s">
        <v>618</v>
      </c>
      <c r="C25" s="475" t="s">
        <v>619</v>
      </c>
      <c r="D25" s="475"/>
      <c r="E25" s="480">
        <f>ROUND(SumSK44,0)</f>
        <v>0</v>
      </c>
      <c r="F25" s="474"/>
      <c r="G25" s="475"/>
      <c r="H25" s="481">
        <f>ESTIMAT!Mva_44</f>
        <v>0</v>
      </c>
      <c r="I25" s="471"/>
      <c r="J25" s="149"/>
      <c r="K25" s="149"/>
    </row>
    <row r="26" spans="1:11" ht="16.5">
      <c r="A26" s="468"/>
      <c r="B26" s="479"/>
      <c r="C26" s="482" t="s">
        <v>494</v>
      </c>
      <c r="D26" s="482"/>
      <c r="E26" s="483" t="s">
        <v>467</v>
      </c>
      <c r="F26" s="480">
        <f>SUM(E12:E25)</f>
        <v>0</v>
      </c>
      <c r="G26" s="475"/>
      <c r="H26" s="484"/>
      <c r="I26" s="484"/>
      <c r="J26" s="149"/>
      <c r="K26" s="149"/>
    </row>
    <row r="27" spans="1:11" ht="16.5">
      <c r="A27" s="468"/>
      <c r="B27" s="479" t="s">
        <v>495</v>
      </c>
      <c r="C27" s="475" t="s">
        <v>496</v>
      </c>
      <c r="D27" s="475"/>
      <c r="E27" s="480">
        <f>ROUND(SumSK51,0)</f>
        <v>0</v>
      </c>
      <c r="F27" s="474"/>
      <c r="G27" s="475"/>
      <c r="H27" s="481">
        <f>ESTIMAT!Mva_51</f>
        <v>0</v>
      </c>
      <c r="I27" s="471"/>
      <c r="J27" s="149"/>
      <c r="K27" s="149"/>
    </row>
    <row r="28" spans="1:11" ht="16.5">
      <c r="A28" s="468"/>
      <c r="B28" s="479" t="s">
        <v>497</v>
      </c>
      <c r="C28" s="485" t="s">
        <v>498</v>
      </c>
      <c r="D28" s="485"/>
      <c r="E28" s="480">
        <f>ROUND(SumSK52,0)</f>
        <v>0</v>
      </c>
      <c r="F28" s="474"/>
      <c r="G28" s="475"/>
      <c r="H28" s="481">
        <f>ESTIMAT!Mva_52</f>
        <v>0</v>
      </c>
      <c r="I28" s="471"/>
      <c r="J28" s="149"/>
      <c r="K28" s="149"/>
    </row>
    <row r="29" spans="1:11" ht="16.5">
      <c r="A29" s="468"/>
      <c r="B29" s="479" t="s">
        <v>499</v>
      </c>
      <c r="C29" s="475" t="s">
        <v>500</v>
      </c>
      <c r="D29" s="475"/>
      <c r="E29" s="480">
        <f>ROUND(SumSK53,0)</f>
        <v>0</v>
      </c>
      <c r="F29" s="474"/>
      <c r="G29" s="475"/>
      <c r="H29" s="481">
        <f>ESTIMAT!Mva_53</f>
        <v>0</v>
      </c>
      <c r="I29" s="471"/>
      <c r="J29" s="149"/>
      <c r="K29" s="149"/>
    </row>
    <row r="30" spans="1:11" ht="16.5">
      <c r="A30" s="468"/>
      <c r="B30" s="479" t="s">
        <v>501</v>
      </c>
      <c r="C30" s="475" t="s">
        <v>502</v>
      </c>
      <c r="D30" s="475"/>
      <c r="E30" s="480">
        <f>ROUND(SumSK54,0)</f>
        <v>0</v>
      </c>
      <c r="F30" s="474"/>
      <c r="G30" s="475"/>
      <c r="H30" s="481">
        <f>ESTIMAT!Mva_54</f>
        <v>0</v>
      </c>
      <c r="I30" s="471"/>
      <c r="J30" s="149"/>
      <c r="K30" s="149"/>
    </row>
    <row r="31" spans="1:11" ht="16.5">
      <c r="A31" s="468"/>
      <c r="B31" s="479" t="s">
        <v>503</v>
      </c>
      <c r="C31" s="475" t="s">
        <v>504</v>
      </c>
      <c r="D31" s="475"/>
      <c r="E31" s="480">
        <f>ROUND(SumSK55,0)</f>
        <v>0</v>
      </c>
      <c r="F31" s="486"/>
      <c r="G31" s="475"/>
      <c r="H31" s="481">
        <f>ESTIMAT!Mva_55</f>
        <v>0</v>
      </c>
      <c r="I31" s="471"/>
      <c r="J31" s="149"/>
      <c r="K31" s="149"/>
    </row>
    <row r="32" spans="1:11" ht="16.5">
      <c r="A32" s="468"/>
      <c r="B32" s="479" t="s">
        <v>505</v>
      </c>
      <c r="C32" s="475" t="s">
        <v>823</v>
      </c>
      <c r="D32" s="475"/>
      <c r="E32" s="480">
        <f>ROUND(SumSK56,0)</f>
        <v>0</v>
      </c>
      <c r="F32" s="486"/>
      <c r="G32" s="475"/>
      <c r="H32" s="481">
        <f>ESTIMAT!Mva_56</f>
        <v>0</v>
      </c>
      <c r="I32" s="471"/>
      <c r="J32" s="149"/>
      <c r="K32" s="149"/>
    </row>
    <row r="33" spans="1:11" ht="16.5">
      <c r="A33" s="468"/>
      <c r="B33" s="479"/>
      <c r="C33" s="482" t="s">
        <v>506</v>
      </c>
      <c r="D33" s="482"/>
      <c r="E33" s="483" t="s">
        <v>467</v>
      </c>
      <c r="F33" s="480">
        <f>SUM(E27:E32)</f>
        <v>0</v>
      </c>
      <c r="G33" s="475"/>
      <c r="H33" s="484"/>
      <c r="I33" s="484"/>
      <c r="J33" s="149"/>
      <c r="K33" s="149"/>
    </row>
    <row r="34" spans="1:11" ht="16.5">
      <c r="A34" s="468"/>
      <c r="B34" s="479" t="s">
        <v>507</v>
      </c>
      <c r="C34" s="475" t="s">
        <v>508</v>
      </c>
      <c r="D34" s="475"/>
      <c r="E34" s="480">
        <f>SumSK61</f>
        <v>0</v>
      </c>
      <c r="F34" s="486"/>
      <c r="G34" s="475"/>
      <c r="H34" s="481">
        <f>ESTIMAT!Mva_61</f>
        <v>0</v>
      </c>
      <c r="I34" s="471"/>
      <c r="J34" s="149"/>
      <c r="K34" s="149"/>
    </row>
    <row r="35" spans="1:11" ht="17.25" thickBot="1">
      <c r="A35" s="468"/>
      <c r="B35" s="479"/>
      <c r="C35" s="475"/>
      <c r="D35" s="475"/>
      <c r="E35" s="483" t="s">
        <v>467</v>
      </c>
      <c r="F35" s="480">
        <f>E34</f>
        <v>0</v>
      </c>
      <c r="G35" s="475"/>
      <c r="H35" s="484"/>
      <c r="I35" s="484"/>
      <c r="J35" s="149"/>
      <c r="K35" s="149"/>
    </row>
    <row r="36" spans="1:11" ht="16.5">
      <c r="A36" s="468"/>
      <c r="B36" s="479"/>
      <c r="C36" s="482" t="s">
        <v>509</v>
      </c>
      <c r="D36" s="482"/>
      <c r="E36" s="483"/>
      <c r="F36" s="487">
        <f>F11+F26+F33+F35</f>
        <v>0</v>
      </c>
      <c r="G36" s="475"/>
      <c r="H36" s="484"/>
      <c r="I36" s="484"/>
      <c r="J36" s="149"/>
      <c r="K36" s="149"/>
    </row>
    <row r="37" spans="1:11" ht="17.25" thickBot="1">
      <c r="A37" s="468"/>
      <c r="B37" s="479" t="s">
        <v>510</v>
      </c>
      <c r="C37" s="475" t="s">
        <v>511</v>
      </c>
      <c r="D37" s="475"/>
      <c r="E37" s="488">
        <f>IF(F37,F37/F36,"")</f>
      </c>
      <c r="F37" s="480">
        <f>ROUND(SumSK62,0)</f>
        <v>0</v>
      </c>
      <c r="G37" s="475"/>
      <c r="H37" s="489"/>
      <c r="I37" s="489"/>
      <c r="J37" s="149"/>
      <c r="K37" s="149"/>
    </row>
    <row r="38" spans="1:11" ht="17.25" thickBot="1">
      <c r="A38" s="468"/>
      <c r="B38" s="479"/>
      <c r="C38" s="482" t="s">
        <v>512</v>
      </c>
      <c r="D38" s="482"/>
      <c r="E38" s="474"/>
      <c r="F38" s="490">
        <f>F36+F37</f>
        <v>0</v>
      </c>
      <c r="G38" s="475"/>
      <c r="H38" s="491">
        <f>SUM(H9:H34)</f>
        <v>0</v>
      </c>
      <c r="I38" s="471"/>
      <c r="J38" s="149"/>
      <c r="K38" s="149"/>
    </row>
    <row r="39" spans="1:11" ht="17.25" thickTop="1">
      <c r="A39" s="468"/>
      <c r="B39" s="475"/>
      <c r="C39" s="492"/>
      <c r="D39" s="493"/>
      <c r="E39" s="483"/>
      <c r="F39" s="474"/>
      <c r="G39" s="475"/>
      <c r="H39" s="484"/>
      <c r="I39" s="484"/>
      <c r="J39" s="149"/>
      <c r="K39" s="149"/>
    </row>
    <row r="40" spans="1:11" ht="16.5">
      <c r="A40" s="468"/>
      <c r="B40" s="479"/>
      <c r="C40" s="482"/>
      <c r="D40" s="482"/>
      <c r="E40" s="474"/>
      <c r="F40" s="474"/>
      <c r="G40" s="475"/>
      <c r="H40" s="468"/>
      <c r="I40" s="471"/>
      <c r="J40" s="149"/>
      <c r="K40" s="149"/>
    </row>
    <row r="41" spans="1:11" ht="16.5">
      <c r="A41" s="468"/>
      <c r="B41" s="494"/>
      <c r="C41" s="495"/>
      <c r="D41" s="495"/>
      <c r="E41" s="496"/>
      <c r="F41" s="497"/>
      <c r="G41" s="468"/>
      <c r="H41" s="471"/>
      <c r="I41" s="471"/>
      <c r="J41" s="149"/>
      <c r="K41" s="149"/>
    </row>
    <row r="42" spans="1:11" ht="16.5">
      <c r="A42" s="468"/>
      <c r="B42" s="468"/>
      <c r="C42" s="468"/>
      <c r="D42" s="468"/>
      <c r="E42" s="468"/>
      <c r="F42" s="468"/>
      <c r="G42" s="468"/>
      <c r="H42" s="498"/>
      <c r="I42" s="498"/>
      <c r="J42" s="149"/>
      <c r="K42" s="149"/>
    </row>
    <row r="43" spans="1:11" ht="16.5">
      <c r="A43" s="149"/>
      <c r="B43" s="149"/>
      <c r="C43" s="149"/>
      <c r="D43" s="149"/>
      <c r="E43" s="149"/>
      <c r="F43" s="149"/>
      <c r="G43" s="149"/>
      <c r="H43" s="149"/>
      <c r="I43" s="149"/>
      <c r="J43" s="149"/>
      <c r="K43" s="149"/>
    </row>
    <row r="44" spans="1:11" ht="226.5" customHeight="1">
      <c r="A44" s="149"/>
      <c r="B44" s="149"/>
      <c r="C44" s="149"/>
      <c r="D44" s="149"/>
      <c r="E44" s="149"/>
      <c r="F44" s="149"/>
      <c r="G44" s="149"/>
      <c r="H44" s="149"/>
      <c r="I44" s="149"/>
      <c r="J44" s="149"/>
      <c r="K44" s="149"/>
    </row>
    <row r="45" spans="1:11" ht="16.5">
      <c r="A45" s="149"/>
      <c r="B45" s="149"/>
      <c r="C45" s="149"/>
      <c r="D45" s="149"/>
      <c r="E45" s="149"/>
      <c r="F45" s="149"/>
      <c r="G45" s="149"/>
      <c r="H45" s="149"/>
      <c r="I45" s="149"/>
      <c r="J45" s="149"/>
      <c r="K45" s="149"/>
    </row>
  </sheetData>
  <sheetProtection sheet="1" objects="1" scenarios="1"/>
  <printOptions/>
  <pageMargins left="0.5511811023622047" right="0.2362204724409449" top="0.7086614173228347" bottom="0.1968503937007874" header="0.7480314960629921" footer="0.2362204724409449"/>
  <pageSetup blackAndWhite="1" fitToHeight="1" fitToWidth="1" horizontalDpi="300" verticalDpi="300" orientation="portrait" paperSize="9"/>
  <rowBreaks count="1" manualBreakCount="1">
    <brk id="42" max="65535" man="1"/>
  </rowBreaks>
  <colBreaks count="1" manualBreakCount="1">
    <brk id="9" min="1" max="42" man="1"/>
  </colBreaks>
</worksheet>
</file>

<file path=xl/worksheets/sheet9.xml><?xml version="1.0" encoding="utf-8"?>
<worksheet xmlns="http://schemas.openxmlformats.org/spreadsheetml/2006/main" xmlns:r="http://schemas.openxmlformats.org/officeDocument/2006/relationships">
  <sheetPr codeName="Ark11">
    <pageSetUpPr fitToPage="1"/>
  </sheetPr>
  <dimension ref="A1:S1094"/>
  <sheetViews>
    <sheetView showGridLines="0" showZeros="0" showOutlineSymbols="0" zoomScaleSheetLayoutView="100" workbookViewId="0" topLeftCell="A1">
      <pane ySplit="5" topLeftCell="BM6" activePane="bottomLeft" state="frozen"/>
      <selection pane="topLeft" activeCell="A1" sqref="A1"/>
      <selection pane="bottomLeft" activeCell="A6" sqref="A6"/>
    </sheetView>
  </sheetViews>
  <sheetFormatPr defaultColWidth="9.7109375" defaultRowHeight="12.75"/>
  <cols>
    <col min="1" max="1" width="6.421875" style="226" customWidth="1"/>
    <col min="2" max="2" width="22.7109375" style="1" customWidth="1"/>
    <col min="3" max="3" width="18.7109375" style="19" customWidth="1"/>
    <col min="4" max="4" width="6.7109375" style="48" customWidth="1"/>
    <col min="5" max="5" width="5.28125" style="64" customWidth="1"/>
    <col min="6" max="6" width="7.7109375" style="48" customWidth="1"/>
    <col min="7" max="7" width="8.421875" style="516" customWidth="1"/>
    <col min="8" max="8" width="3.00390625" style="515" customWidth="1"/>
    <col min="9" max="9" width="6.7109375" style="516" customWidth="1"/>
    <col min="10" max="10" width="1.7109375" style="516" customWidth="1"/>
    <col min="11" max="11" width="1.7109375" style="570" customWidth="1"/>
    <col min="12" max="12" width="8.28125" style="516" customWidth="1"/>
    <col min="13" max="13" width="2.7109375" style="531" customWidth="1"/>
    <col min="14" max="14" width="8.421875" style="516" customWidth="1"/>
    <col min="15" max="15" width="2.7109375" style="531" customWidth="1"/>
    <col min="16" max="16" width="10.7109375" style="571" customWidth="1"/>
    <col min="17" max="17" width="2.7109375" style="582" customWidth="1"/>
    <col min="18" max="18" width="54.140625" style="157" customWidth="1"/>
    <col min="19" max="19" width="12.7109375" style="157" customWidth="1"/>
    <col min="20" max="16384" width="9.7109375" style="157" customWidth="1"/>
  </cols>
  <sheetData>
    <row r="1" spans="1:19" ht="18" customHeight="1">
      <c r="A1" s="225"/>
      <c r="B1" s="149"/>
      <c r="C1" s="149"/>
      <c r="D1" s="149"/>
      <c r="E1" s="149"/>
      <c r="F1" s="149"/>
      <c r="G1" s="514"/>
      <c r="H1" s="514"/>
      <c r="I1" s="514"/>
      <c r="J1" s="514"/>
      <c r="K1" s="524"/>
      <c r="L1" s="514"/>
      <c r="M1" s="514"/>
      <c r="N1" s="514"/>
      <c r="O1" s="514"/>
      <c r="P1" s="525"/>
      <c r="Q1" s="580"/>
      <c r="R1" s="149"/>
      <c r="S1" s="149"/>
    </row>
    <row r="2" spans="1:19" ht="18" customHeight="1">
      <c r="A2" s="225"/>
      <c r="B2" s="149"/>
      <c r="C2" s="149"/>
      <c r="D2" s="149"/>
      <c r="E2" s="149"/>
      <c r="F2" s="149"/>
      <c r="G2" s="514"/>
      <c r="H2" s="604">
        <f>TOTALEST</f>
        <v>0</v>
      </c>
      <c r="I2" s="605"/>
      <c r="J2" s="514"/>
      <c r="K2" s="524"/>
      <c r="L2" s="514"/>
      <c r="M2" s="514"/>
      <c r="N2" s="514"/>
      <c r="O2" s="514"/>
      <c r="P2" s="579">
        <f>RAPPORT!G36</f>
        <v>0</v>
      </c>
      <c r="Q2" s="580"/>
      <c r="R2" s="149"/>
      <c r="S2" s="149"/>
    </row>
    <row r="3" spans="1:19" s="1" customFormat="1" ht="10.5" customHeight="1">
      <c r="A3" s="574" t="s">
        <v>690</v>
      </c>
      <c r="B3" s="149"/>
      <c r="C3" s="360" t="s">
        <v>689</v>
      </c>
      <c r="D3" s="33" t="s">
        <v>422</v>
      </c>
      <c r="E3" s="65" t="s">
        <v>423</v>
      </c>
      <c r="F3" s="33" t="s">
        <v>424</v>
      </c>
      <c r="G3" s="515" t="s">
        <v>425</v>
      </c>
      <c r="H3" s="526" t="s">
        <v>426</v>
      </c>
      <c r="I3" s="515" t="s">
        <v>427</v>
      </c>
      <c r="J3" s="515"/>
      <c r="K3" s="527"/>
      <c r="L3" s="515" t="s">
        <v>688</v>
      </c>
      <c r="M3" s="522"/>
      <c r="N3" s="515" t="s">
        <v>685</v>
      </c>
      <c r="O3" s="522"/>
      <c r="P3" s="528" t="s">
        <v>677</v>
      </c>
      <c r="Q3" s="286"/>
      <c r="R3" s="149"/>
      <c r="S3" s="149"/>
    </row>
    <row r="4" spans="1:19" s="1" customFormat="1" ht="12.75" hidden="1">
      <c r="A4" s="226"/>
      <c r="C4" s="19"/>
      <c r="D4" s="48"/>
      <c r="E4" s="64"/>
      <c r="F4" s="48"/>
      <c r="G4" s="516"/>
      <c r="H4" s="515"/>
      <c r="I4" s="516"/>
      <c r="J4" s="516"/>
      <c r="K4" s="529"/>
      <c r="L4" s="516"/>
      <c r="M4" s="516"/>
      <c r="N4" s="516"/>
      <c r="O4" s="516"/>
      <c r="P4" s="530" t="s">
        <v>668</v>
      </c>
      <c r="Q4" s="581"/>
      <c r="R4" s="149"/>
      <c r="S4" s="149"/>
    </row>
    <row r="5" spans="1:19" s="1" customFormat="1" ht="1.5" customHeight="1">
      <c r="A5" s="225"/>
      <c r="B5" s="149"/>
      <c r="C5" s="149"/>
      <c r="D5" s="149"/>
      <c r="E5" s="149"/>
      <c r="F5" s="149"/>
      <c r="G5" s="514"/>
      <c r="H5" s="514"/>
      <c r="I5" s="514"/>
      <c r="J5" s="514"/>
      <c r="K5" s="524"/>
      <c r="L5" s="514"/>
      <c r="M5" s="514"/>
      <c r="N5" s="514"/>
      <c r="O5" s="514"/>
      <c r="P5" s="525"/>
      <c r="Q5" s="580"/>
      <c r="R5" s="149"/>
      <c r="S5" s="149"/>
    </row>
    <row r="6" spans="1:19" ht="0.75" customHeight="1">
      <c r="A6" s="227" t="s">
        <v>539</v>
      </c>
      <c r="B6" s="1" t="s">
        <v>539</v>
      </c>
      <c r="C6" s="19" t="s">
        <v>539</v>
      </c>
      <c r="D6" s="48" t="s">
        <v>539</v>
      </c>
      <c r="F6" s="48" t="s">
        <v>539</v>
      </c>
      <c r="G6" s="516" t="s">
        <v>539</v>
      </c>
      <c r="H6" s="515" t="s">
        <v>539</v>
      </c>
      <c r="I6" s="516" t="s">
        <v>539</v>
      </c>
      <c r="K6" s="529"/>
      <c r="L6" s="517" t="s">
        <v>328</v>
      </c>
      <c r="N6" s="516" t="s">
        <v>539</v>
      </c>
      <c r="P6" s="532">
        <v>38285</v>
      </c>
      <c r="R6" s="199"/>
      <c r="S6" s="199"/>
    </row>
    <row r="7" spans="1:19" s="1" customFormat="1" ht="24.75" customHeight="1">
      <c r="A7" s="391" t="s">
        <v>513</v>
      </c>
      <c r="B7" s="392"/>
      <c r="C7" s="393"/>
      <c r="D7" s="509" t="s">
        <v>422</v>
      </c>
      <c r="E7" s="510" t="s">
        <v>423</v>
      </c>
      <c r="F7" s="509" t="s">
        <v>424</v>
      </c>
      <c r="G7" s="533" t="s">
        <v>425</v>
      </c>
      <c r="H7" s="533" t="s">
        <v>426</v>
      </c>
      <c r="I7" s="534" t="s">
        <v>427</v>
      </c>
      <c r="J7" s="534"/>
      <c r="K7" s="535"/>
      <c r="L7" s="533" t="s">
        <v>688</v>
      </c>
      <c r="M7" s="536"/>
      <c r="N7" s="533" t="s">
        <v>685</v>
      </c>
      <c r="O7" s="536"/>
      <c r="P7" s="533" t="s">
        <v>677</v>
      </c>
      <c r="Q7" s="583"/>
      <c r="R7" s="199"/>
      <c r="S7" s="199"/>
    </row>
    <row r="8" spans="1:19" s="1" customFormat="1" ht="12.75">
      <c r="A8" s="395">
        <v>101010</v>
      </c>
      <c r="B8" s="396" t="s">
        <v>540</v>
      </c>
      <c r="C8" s="397"/>
      <c r="D8" s="398"/>
      <c r="E8" s="398"/>
      <c r="F8" s="399"/>
      <c r="G8" s="537">
        <f aca="true" t="shared" si="0" ref="G8:G19">IF(X=0,(IF(Me=0,Sa,Me*Sa)),(IF(Me=0,Sa*X,Me*X*Sa)))</f>
        <v>0</v>
      </c>
      <c r="H8" s="538">
        <f aca="true" t="shared" si="1" ref="H8:H19">IF(Sum,Sos,0)</f>
        <v>0</v>
      </c>
      <c r="I8" s="539">
        <f aca="true" t="shared" si="2" ref="I8:I16">IF(Prosent&lt;&gt;0,(Sum*Prosent)/100,0)</f>
        <v>0</v>
      </c>
      <c r="J8" s="540"/>
      <c r="K8" s="403"/>
      <c r="L8" s="541">
        <f aca="true" t="shared" si="3" ref="L8:L32">IF(FMVAE&lt;&gt;"",(Sum*mva)-Sum,"")</f>
      </c>
      <c r="M8" s="542"/>
      <c r="N8" s="537">
        <v>0</v>
      </c>
      <c r="O8" s="542"/>
      <c r="P8" s="543">
        <f>BOKFØRT!C8</f>
        <v>0</v>
      </c>
      <c r="Q8" s="583">
        <f>G8+N8+P8</f>
        <v>0</v>
      </c>
      <c r="R8" s="199"/>
      <c r="S8" s="199"/>
    </row>
    <row r="9" spans="1:19" s="1" customFormat="1" ht="12.75">
      <c r="A9" s="395">
        <v>101011</v>
      </c>
      <c r="B9" s="396" t="s">
        <v>541</v>
      </c>
      <c r="C9" s="397"/>
      <c r="D9" s="405"/>
      <c r="E9" s="398"/>
      <c r="F9" s="399"/>
      <c r="G9" s="544">
        <f t="shared" si="0"/>
        <v>0</v>
      </c>
      <c r="H9" s="538">
        <f t="shared" si="1"/>
        <v>0</v>
      </c>
      <c r="I9" s="539">
        <f t="shared" si="2"/>
        <v>0</v>
      </c>
      <c r="J9" s="540"/>
      <c r="K9" s="403"/>
      <c r="L9" s="541">
        <f t="shared" si="3"/>
      </c>
      <c r="M9" s="542"/>
      <c r="N9" s="544">
        <v>0</v>
      </c>
      <c r="O9" s="542"/>
      <c r="P9" s="545">
        <f>BOKFØRT!C9</f>
        <v>0</v>
      </c>
      <c r="Q9" s="583">
        <f aca="true" t="shared" si="4" ref="Q9:Q33">G9+N9+P9</f>
        <v>0</v>
      </c>
      <c r="R9" s="199"/>
      <c r="S9" s="199"/>
    </row>
    <row r="10" spans="1:19" s="1" customFormat="1" ht="12.75">
      <c r="A10" s="395">
        <v>101012</v>
      </c>
      <c r="B10" s="396" t="s">
        <v>542</v>
      </c>
      <c r="C10" s="397"/>
      <c r="D10" s="405"/>
      <c r="E10" s="398"/>
      <c r="F10" s="399"/>
      <c r="G10" s="544">
        <f t="shared" si="0"/>
        <v>0</v>
      </c>
      <c r="H10" s="538">
        <f t="shared" si="1"/>
        <v>0</v>
      </c>
      <c r="I10" s="539">
        <f t="shared" si="2"/>
        <v>0</v>
      </c>
      <c r="J10" s="540"/>
      <c r="K10" s="403"/>
      <c r="L10" s="541">
        <f t="shared" si="3"/>
      </c>
      <c r="M10" s="542"/>
      <c r="N10" s="544">
        <v>0</v>
      </c>
      <c r="O10" s="542"/>
      <c r="P10" s="545">
        <f>BOKFØRT!C10</f>
        <v>0</v>
      </c>
      <c r="Q10" s="583">
        <f t="shared" si="4"/>
        <v>0</v>
      </c>
      <c r="R10" s="199"/>
      <c r="S10" s="199"/>
    </row>
    <row r="11" spans="1:19" s="1" customFormat="1" ht="12.75">
      <c r="A11" s="395">
        <v>101013</v>
      </c>
      <c r="B11" s="396" t="s">
        <v>543</v>
      </c>
      <c r="C11" s="397"/>
      <c r="D11" s="405"/>
      <c r="E11" s="398"/>
      <c r="F11" s="399"/>
      <c r="G11" s="544">
        <f t="shared" si="0"/>
        <v>0</v>
      </c>
      <c r="H11" s="538">
        <f t="shared" si="1"/>
        <v>0</v>
      </c>
      <c r="I11" s="539">
        <f t="shared" si="2"/>
        <v>0</v>
      </c>
      <c r="J11" s="540"/>
      <c r="K11" s="403"/>
      <c r="L11" s="541">
        <f t="shared" si="3"/>
      </c>
      <c r="M11" s="542"/>
      <c r="N11" s="544">
        <v>0</v>
      </c>
      <c r="O11" s="542"/>
      <c r="P11" s="545">
        <f>BOKFØRT!C11</f>
        <v>0</v>
      </c>
      <c r="Q11" s="583">
        <f t="shared" si="4"/>
        <v>0</v>
      </c>
      <c r="R11" s="199"/>
      <c r="S11" s="199"/>
    </row>
    <row r="12" spans="1:19" s="1" customFormat="1" ht="12.75">
      <c r="A12" s="395">
        <v>101014</v>
      </c>
      <c r="B12" s="396" t="s">
        <v>544</v>
      </c>
      <c r="C12" s="397"/>
      <c r="D12" s="405"/>
      <c r="E12" s="398"/>
      <c r="F12" s="399"/>
      <c r="G12" s="544">
        <f t="shared" si="0"/>
        <v>0</v>
      </c>
      <c r="H12" s="538">
        <f t="shared" si="1"/>
        <v>0</v>
      </c>
      <c r="I12" s="539">
        <f t="shared" si="2"/>
        <v>0</v>
      </c>
      <c r="J12" s="540"/>
      <c r="K12" s="403"/>
      <c r="L12" s="541">
        <f t="shared" si="3"/>
      </c>
      <c r="M12" s="542"/>
      <c r="N12" s="544">
        <v>0</v>
      </c>
      <c r="O12" s="542"/>
      <c r="P12" s="545">
        <f>BOKFØRT!C12</f>
        <v>0</v>
      </c>
      <c r="Q12" s="583">
        <f t="shared" si="4"/>
        <v>0</v>
      </c>
      <c r="R12" s="199"/>
      <c r="S12" s="199"/>
    </row>
    <row r="13" spans="1:19" s="1" customFormat="1" ht="12.75">
      <c r="A13" s="395">
        <v>101019</v>
      </c>
      <c r="B13" s="396" t="s">
        <v>548</v>
      </c>
      <c r="C13" s="397"/>
      <c r="D13" s="405"/>
      <c r="E13" s="398"/>
      <c r="F13" s="399"/>
      <c r="G13" s="544">
        <f t="shared" si="0"/>
        <v>0</v>
      </c>
      <c r="H13" s="538">
        <f t="shared" si="1"/>
        <v>0</v>
      </c>
      <c r="I13" s="539">
        <f t="shared" si="2"/>
        <v>0</v>
      </c>
      <c r="J13" s="540"/>
      <c r="K13" s="403"/>
      <c r="L13" s="541">
        <f t="shared" si="3"/>
      </c>
      <c r="M13" s="542"/>
      <c r="N13" s="544">
        <v>0</v>
      </c>
      <c r="O13" s="542"/>
      <c r="P13" s="545">
        <f>BOKFØRT!C13</f>
        <v>0</v>
      </c>
      <c r="Q13" s="583">
        <f>G13+N13+P13</f>
        <v>0</v>
      </c>
      <c r="R13" s="199"/>
      <c r="S13" s="199"/>
    </row>
    <row r="14" spans="1:19" s="1" customFormat="1" ht="12.75">
      <c r="A14" s="395">
        <v>101110</v>
      </c>
      <c r="B14" s="396" t="s">
        <v>360</v>
      </c>
      <c r="C14" s="397"/>
      <c r="D14" s="405"/>
      <c r="E14" s="398"/>
      <c r="F14" s="399"/>
      <c r="G14" s="544">
        <f t="shared" si="0"/>
        <v>0</v>
      </c>
      <c r="H14" s="538">
        <f t="shared" si="1"/>
        <v>0</v>
      </c>
      <c r="I14" s="539">
        <f t="shared" si="2"/>
        <v>0</v>
      </c>
      <c r="J14" s="540"/>
      <c r="K14" s="403"/>
      <c r="L14" s="541">
        <f t="shared" si="3"/>
      </c>
      <c r="M14" s="542"/>
      <c r="N14" s="544">
        <v>0</v>
      </c>
      <c r="O14" s="542"/>
      <c r="P14" s="545">
        <f>BOKFØRT!C14</f>
        <v>0</v>
      </c>
      <c r="Q14" s="583">
        <f t="shared" si="4"/>
        <v>0</v>
      </c>
      <c r="R14" s="199"/>
      <c r="S14" s="199"/>
    </row>
    <row r="15" spans="1:19" s="1" customFormat="1" ht="12.75">
      <c r="A15" s="395">
        <v>101218</v>
      </c>
      <c r="B15" s="396" t="s">
        <v>549</v>
      </c>
      <c r="C15" s="397"/>
      <c r="D15" s="405"/>
      <c r="E15" s="398"/>
      <c r="F15" s="399"/>
      <c r="G15" s="544">
        <f t="shared" si="0"/>
        <v>0</v>
      </c>
      <c r="H15" s="538">
        <f t="shared" si="1"/>
        <v>0</v>
      </c>
      <c r="I15" s="539">
        <f t="shared" si="2"/>
        <v>0</v>
      </c>
      <c r="J15" s="540"/>
      <c r="K15" s="403"/>
      <c r="L15" s="541">
        <f t="shared" si="3"/>
      </c>
      <c r="M15" s="542"/>
      <c r="N15" s="544">
        <v>0</v>
      </c>
      <c r="O15" s="542"/>
      <c r="P15" s="545">
        <f>BOKFØRT!C15</f>
        <v>0</v>
      </c>
      <c r="Q15" s="583">
        <f t="shared" si="4"/>
        <v>0</v>
      </c>
      <c r="R15" s="199"/>
      <c r="S15" s="199"/>
    </row>
    <row r="16" spans="1:19" s="1" customFormat="1" ht="12.75">
      <c r="A16" s="395">
        <v>104010</v>
      </c>
      <c r="B16" s="396" t="s">
        <v>550</v>
      </c>
      <c r="C16" s="397"/>
      <c r="D16" s="405"/>
      <c r="E16" s="398"/>
      <c r="F16" s="399"/>
      <c r="G16" s="544">
        <f t="shared" si="0"/>
        <v>0</v>
      </c>
      <c r="H16" s="538">
        <f t="shared" si="1"/>
        <v>0</v>
      </c>
      <c r="I16" s="539">
        <f t="shared" si="2"/>
        <v>0</v>
      </c>
      <c r="J16" s="540"/>
      <c r="K16" s="403"/>
      <c r="L16" s="541">
        <f t="shared" si="3"/>
      </c>
      <c r="M16" s="542"/>
      <c r="N16" s="544">
        <v>0</v>
      </c>
      <c r="O16" s="542"/>
      <c r="P16" s="545">
        <f>BOKFØRT!C16</f>
        <v>0</v>
      </c>
      <c r="Q16" s="583">
        <f t="shared" si="4"/>
        <v>0</v>
      </c>
      <c r="R16" s="199"/>
      <c r="S16" s="199"/>
    </row>
    <row r="17" spans="1:19" s="1" customFormat="1" ht="12.75">
      <c r="A17" s="395">
        <v>104016</v>
      </c>
      <c r="B17" s="407" t="s">
        <v>551</v>
      </c>
      <c r="C17" s="397"/>
      <c r="D17" s="405"/>
      <c r="E17" s="398"/>
      <c r="F17" s="399"/>
      <c r="G17" s="544">
        <f t="shared" si="0"/>
        <v>0</v>
      </c>
      <c r="H17" s="538">
        <f t="shared" si="1"/>
        <v>0</v>
      </c>
      <c r="I17" s="539">
        <f>IF(H17&lt;&gt;0,(G17*H17)/100,0)</f>
        <v>0</v>
      </c>
      <c r="J17" s="540"/>
      <c r="K17" s="403"/>
      <c r="L17" s="541">
        <f t="shared" si="3"/>
      </c>
      <c r="M17" s="542"/>
      <c r="N17" s="544">
        <v>0</v>
      </c>
      <c r="O17" s="542"/>
      <c r="P17" s="545">
        <f>BOKFØRT!C17</f>
        <v>0</v>
      </c>
      <c r="Q17" s="583">
        <f t="shared" si="4"/>
        <v>0</v>
      </c>
      <c r="R17" s="199"/>
      <c r="S17" s="199"/>
    </row>
    <row r="18" spans="1:19" s="1" customFormat="1" ht="12.75">
      <c r="A18" s="395">
        <v>104090</v>
      </c>
      <c r="B18" s="407" t="s">
        <v>552</v>
      </c>
      <c r="C18" s="397"/>
      <c r="D18" s="405"/>
      <c r="E18" s="398"/>
      <c r="F18" s="399"/>
      <c r="G18" s="544">
        <f t="shared" si="0"/>
        <v>0</v>
      </c>
      <c r="H18" s="538">
        <f t="shared" si="1"/>
        <v>0</v>
      </c>
      <c r="I18" s="539">
        <f>IF(H18&lt;&gt;0,(G18*H18)/100,0)</f>
        <v>0</v>
      </c>
      <c r="J18" s="540"/>
      <c r="K18" s="403"/>
      <c r="L18" s="541">
        <f t="shared" si="3"/>
      </c>
      <c r="M18" s="542"/>
      <c r="N18" s="544">
        <v>0</v>
      </c>
      <c r="O18" s="542"/>
      <c r="P18" s="545">
        <f>BOKFØRT!C18</f>
        <v>0</v>
      </c>
      <c r="Q18" s="583">
        <f t="shared" si="4"/>
        <v>0</v>
      </c>
      <c r="R18" s="199"/>
      <c r="S18" s="199"/>
    </row>
    <row r="19" spans="1:19" s="1" customFormat="1" ht="12.75">
      <c r="A19" s="395">
        <v>104091</v>
      </c>
      <c r="B19" s="408" t="s">
        <v>553</v>
      </c>
      <c r="C19" s="397"/>
      <c r="D19" s="409"/>
      <c r="E19" s="398"/>
      <c r="F19" s="410"/>
      <c r="G19" s="544">
        <f t="shared" si="0"/>
        <v>0</v>
      </c>
      <c r="H19" s="538">
        <f t="shared" si="1"/>
        <v>0</v>
      </c>
      <c r="I19" s="539">
        <f>IF(H19&lt;&gt;0,(G19*H19)/100,0)</f>
        <v>0</v>
      </c>
      <c r="J19" s="540"/>
      <c r="K19" s="403"/>
      <c r="L19" s="541">
        <f t="shared" si="3"/>
      </c>
      <c r="M19" s="542"/>
      <c r="N19" s="544">
        <v>0</v>
      </c>
      <c r="O19" s="542"/>
      <c r="P19" s="545">
        <f>BOKFØRT!C19</f>
        <v>0</v>
      </c>
      <c r="Q19" s="583">
        <f t="shared" si="4"/>
        <v>0</v>
      </c>
      <c r="R19" s="199"/>
      <c r="S19" s="199"/>
    </row>
    <row r="20" spans="1:19" s="1" customFormat="1" ht="12.75">
      <c r="A20" s="395">
        <v>104095</v>
      </c>
      <c r="B20" s="411" t="s">
        <v>554</v>
      </c>
      <c r="C20" s="397"/>
      <c r="D20" s="412"/>
      <c r="E20" s="398"/>
      <c r="F20" s="413"/>
      <c r="G20" s="544">
        <f>SUM(I8:I19)</f>
        <v>0</v>
      </c>
      <c r="H20" s="414"/>
      <c r="I20" s="546" t="s">
        <v>555</v>
      </c>
      <c r="J20" s="546"/>
      <c r="K20" s="573"/>
      <c r="L20" s="541"/>
      <c r="M20" s="542"/>
      <c r="N20" s="544">
        <v>0</v>
      </c>
      <c r="O20" s="542"/>
      <c r="P20" s="545">
        <f>BOKFØRT!C20</f>
        <v>0</v>
      </c>
      <c r="Q20" s="583">
        <f t="shared" si="4"/>
        <v>0</v>
      </c>
      <c r="R20" s="199"/>
      <c r="S20" s="199"/>
    </row>
    <row r="21" spans="1:19" s="1" customFormat="1" ht="12.75">
      <c r="A21" s="395">
        <v>109010</v>
      </c>
      <c r="B21" s="416" t="s">
        <v>556</v>
      </c>
      <c r="C21" s="397"/>
      <c r="D21" s="417"/>
      <c r="E21" s="398"/>
      <c r="F21" s="418"/>
      <c r="G21" s="544">
        <f aca="true" t="shared" si="5" ref="G21:G32">IF(X=0,(IF(Me=0,Sa,Me*Sa)),(IF(Me=0,Sa*X,Me*X*Sa)))</f>
        <v>0</v>
      </c>
      <c r="H21" s="414"/>
      <c r="I21" s="546"/>
      <c r="J21" s="546"/>
      <c r="K21" s="403"/>
      <c r="L21" s="541">
        <f t="shared" si="3"/>
      </c>
      <c r="M21" s="542"/>
      <c r="N21" s="544">
        <v>0</v>
      </c>
      <c r="O21" s="542"/>
      <c r="P21" s="545">
        <f>BOKFØRT!C21</f>
        <v>0</v>
      </c>
      <c r="Q21" s="583">
        <f t="shared" si="4"/>
        <v>0</v>
      </c>
      <c r="R21" s="199"/>
      <c r="S21" s="199"/>
    </row>
    <row r="22" spans="1:19" s="1" customFormat="1" ht="12.75">
      <c r="A22" s="395">
        <v>109013</v>
      </c>
      <c r="B22" s="408" t="s">
        <v>557</v>
      </c>
      <c r="C22" s="397"/>
      <c r="D22" s="417"/>
      <c r="E22" s="398"/>
      <c r="F22" s="418"/>
      <c r="G22" s="544">
        <f t="shared" si="5"/>
        <v>0</v>
      </c>
      <c r="H22" s="414"/>
      <c r="I22" s="540"/>
      <c r="J22" s="540"/>
      <c r="K22" s="403"/>
      <c r="L22" s="541">
        <f t="shared" si="3"/>
      </c>
      <c r="M22" s="542"/>
      <c r="N22" s="544">
        <v>0</v>
      </c>
      <c r="O22" s="542"/>
      <c r="P22" s="545">
        <f>BOKFØRT!C22</f>
        <v>0</v>
      </c>
      <c r="Q22" s="583">
        <f t="shared" si="4"/>
        <v>0</v>
      </c>
      <c r="R22" s="199"/>
      <c r="S22" s="199"/>
    </row>
    <row r="23" spans="1:19" s="1" customFormat="1" ht="12.75">
      <c r="A23" s="395">
        <v>109022</v>
      </c>
      <c r="B23" s="408" t="s">
        <v>558</v>
      </c>
      <c r="C23" s="397"/>
      <c r="D23" s="417"/>
      <c r="E23" s="398"/>
      <c r="F23" s="418"/>
      <c r="G23" s="544">
        <f t="shared" si="5"/>
        <v>0</v>
      </c>
      <c r="H23" s="419"/>
      <c r="I23" s="540"/>
      <c r="J23" s="540"/>
      <c r="K23" s="403"/>
      <c r="L23" s="541">
        <f t="shared" si="3"/>
      </c>
      <c r="M23" s="542"/>
      <c r="N23" s="544">
        <v>0</v>
      </c>
      <c r="O23" s="542"/>
      <c r="P23" s="545">
        <f>BOKFØRT!C23</f>
        <v>0</v>
      </c>
      <c r="Q23" s="583">
        <f t="shared" si="4"/>
        <v>0</v>
      </c>
      <c r="R23" s="199"/>
      <c r="S23" s="199"/>
    </row>
    <row r="24" spans="1:19" s="1" customFormat="1" ht="12.75">
      <c r="A24" s="395">
        <v>109029</v>
      </c>
      <c r="B24" s="408" t="s">
        <v>561</v>
      </c>
      <c r="C24" s="397"/>
      <c r="D24" s="417"/>
      <c r="E24" s="398"/>
      <c r="F24" s="418"/>
      <c r="G24" s="544">
        <f t="shared" si="5"/>
        <v>0</v>
      </c>
      <c r="H24" s="419"/>
      <c r="I24" s="540"/>
      <c r="J24" s="540"/>
      <c r="K24" s="403"/>
      <c r="L24" s="541">
        <f t="shared" si="3"/>
      </c>
      <c r="M24" s="542"/>
      <c r="N24" s="544">
        <v>0</v>
      </c>
      <c r="O24" s="542"/>
      <c r="P24" s="545">
        <f>BOKFØRT!C24</f>
        <v>0</v>
      </c>
      <c r="Q24" s="583">
        <f t="shared" si="4"/>
        <v>0</v>
      </c>
      <c r="R24" s="199"/>
      <c r="S24" s="199"/>
    </row>
    <row r="25" spans="1:19" s="1" customFormat="1" ht="12.75">
      <c r="A25" s="395">
        <v>109060</v>
      </c>
      <c r="B25" s="408" t="s">
        <v>562</v>
      </c>
      <c r="C25" s="397"/>
      <c r="D25" s="417"/>
      <c r="E25" s="398"/>
      <c r="F25" s="418"/>
      <c r="G25" s="544">
        <f t="shared" si="5"/>
        <v>0</v>
      </c>
      <c r="H25" s="419"/>
      <c r="I25" s="540"/>
      <c r="J25" s="540"/>
      <c r="K25" s="403"/>
      <c r="L25" s="541">
        <f t="shared" si="3"/>
      </c>
      <c r="M25" s="542"/>
      <c r="N25" s="544">
        <v>0</v>
      </c>
      <c r="O25" s="542"/>
      <c r="P25" s="545">
        <f>BOKFØRT!C25</f>
        <v>0</v>
      </c>
      <c r="Q25" s="583">
        <f t="shared" si="4"/>
        <v>0</v>
      </c>
      <c r="R25" s="199"/>
      <c r="S25" s="199"/>
    </row>
    <row r="26" spans="1:19" s="1" customFormat="1" ht="12.75">
      <c r="A26" s="395">
        <v>109061</v>
      </c>
      <c r="B26" s="408" t="s">
        <v>563</v>
      </c>
      <c r="C26" s="397"/>
      <c r="D26" s="417"/>
      <c r="E26" s="398"/>
      <c r="F26" s="418"/>
      <c r="G26" s="544">
        <f t="shared" si="5"/>
        <v>0</v>
      </c>
      <c r="H26" s="419"/>
      <c r="I26" s="540"/>
      <c r="J26" s="540"/>
      <c r="K26" s="403"/>
      <c r="L26" s="541">
        <f t="shared" si="3"/>
      </c>
      <c r="M26" s="542"/>
      <c r="N26" s="544">
        <v>0</v>
      </c>
      <c r="O26" s="542"/>
      <c r="P26" s="545">
        <f>BOKFØRT!C26</f>
        <v>0</v>
      </c>
      <c r="Q26" s="583">
        <f t="shared" si="4"/>
        <v>0</v>
      </c>
      <c r="R26" s="199"/>
      <c r="S26" s="199"/>
    </row>
    <row r="27" spans="1:19" s="1" customFormat="1" ht="12.75">
      <c r="A27" s="395">
        <v>109069</v>
      </c>
      <c r="B27" s="408" t="s">
        <v>564</v>
      </c>
      <c r="C27" s="397"/>
      <c r="D27" s="417"/>
      <c r="E27" s="398"/>
      <c r="F27" s="418"/>
      <c r="G27" s="544">
        <f t="shared" si="5"/>
        <v>0</v>
      </c>
      <c r="H27" s="414"/>
      <c r="I27" s="547"/>
      <c r="J27" s="547"/>
      <c r="K27" s="403"/>
      <c r="L27" s="541">
        <f t="shared" si="3"/>
      </c>
      <c r="M27" s="542"/>
      <c r="N27" s="544">
        <v>0</v>
      </c>
      <c r="O27" s="542"/>
      <c r="P27" s="545">
        <f>BOKFØRT!C27</f>
        <v>0</v>
      </c>
      <c r="Q27" s="583">
        <f t="shared" si="4"/>
        <v>0</v>
      </c>
      <c r="R27" s="199"/>
      <c r="S27" s="199"/>
    </row>
    <row r="28" spans="1:19" s="1" customFormat="1" ht="12.75">
      <c r="A28" s="395">
        <v>109070</v>
      </c>
      <c r="B28" s="408" t="s">
        <v>565</v>
      </c>
      <c r="C28" s="397"/>
      <c r="D28" s="417"/>
      <c r="E28" s="398"/>
      <c r="F28" s="418"/>
      <c r="G28" s="544">
        <f t="shared" si="5"/>
        <v>0</v>
      </c>
      <c r="H28" s="414"/>
      <c r="I28" s="547"/>
      <c r="J28" s="547"/>
      <c r="K28" s="403"/>
      <c r="L28" s="541">
        <f t="shared" si="3"/>
      </c>
      <c r="M28" s="542"/>
      <c r="N28" s="544">
        <v>0</v>
      </c>
      <c r="O28" s="542"/>
      <c r="P28" s="545">
        <f>BOKFØRT!C28</f>
        <v>0</v>
      </c>
      <c r="Q28" s="583">
        <f t="shared" si="4"/>
        <v>0</v>
      </c>
      <c r="R28" s="199"/>
      <c r="S28" s="199"/>
    </row>
    <row r="29" spans="1:19" s="1" customFormat="1" ht="12.75">
      <c r="A29" s="395">
        <v>109072</v>
      </c>
      <c r="B29" s="408" t="s">
        <v>566</v>
      </c>
      <c r="C29" s="397"/>
      <c r="D29" s="417"/>
      <c r="E29" s="398"/>
      <c r="F29" s="418"/>
      <c r="G29" s="544">
        <f t="shared" si="5"/>
        <v>0</v>
      </c>
      <c r="H29" s="414"/>
      <c r="I29" s="547"/>
      <c r="J29" s="547"/>
      <c r="K29" s="403"/>
      <c r="L29" s="541">
        <f t="shared" si="3"/>
      </c>
      <c r="M29" s="542"/>
      <c r="N29" s="544">
        <v>0</v>
      </c>
      <c r="O29" s="542"/>
      <c r="P29" s="545">
        <f>BOKFØRT!C29</f>
        <v>0</v>
      </c>
      <c r="Q29" s="583">
        <f t="shared" si="4"/>
        <v>0</v>
      </c>
      <c r="R29" s="199"/>
      <c r="S29" s="199"/>
    </row>
    <row r="30" spans="1:19" s="1" customFormat="1" ht="12.75">
      <c r="A30" s="395">
        <v>109073</v>
      </c>
      <c r="B30" s="408" t="s">
        <v>567</v>
      </c>
      <c r="C30" s="397"/>
      <c r="D30" s="417"/>
      <c r="E30" s="398"/>
      <c r="F30" s="418"/>
      <c r="G30" s="544">
        <f t="shared" si="5"/>
        <v>0</v>
      </c>
      <c r="H30" s="414"/>
      <c r="I30" s="547"/>
      <c r="J30" s="547"/>
      <c r="K30" s="403"/>
      <c r="L30" s="541">
        <f t="shared" si="3"/>
      </c>
      <c r="M30" s="542"/>
      <c r="N30" s="544">
        <v>0</v>
      </c>
      <c r="O30" s="542"/>
      <c r="P30" s="545">
        <f>BOKFØRT!C30</f>
        <v>0</v>
      </c>
      <c r="Q30" s="583">
        <f t="shared" si="4"/>
        <v>0</v>
      </c>
      <c r="R30" s="199"/>
      <c r="S30" s="199"/>
    </row>
    <row r="31" spans="1:19" s="1" customFormat="1" ht="12.75">
      <c r="A31" s="395">
        <v>109078</v>
      </c>
      <c r="B31" s="408" t="s">
        <v>568</v>
      </c>
      <c r="C31" s="397"/>
      <c r="D31" s="417"/>
      <c r="E31" s="398"/>
      <c r="F31" s="418"/>
      <c r="G31" s="544">
        <f t="shared" si="5"/>
        <v>0</v>
      </c>
      <c r="H31" s="414"/>
      <c r="I31" s="547"/>
      <c r="J31" s="547"/>
      <c r="K31" s="403"/>
      <c r="L31" s="541">
        <f t="shared" si="3"/>
      </c>
      <c r="M31" s="542"/>
      <c r="N31" s="544">
        <v>0</v>
      </c>
      <c r="O31" s="542"/>
      <c r="P31" s="545">
        <f>BOKFØRT!C31</f>
        <v>0</v>
      </c>
      <c r="Q31" s="583">
        <f t="shared" si="4"/>
        <v>0</v>
      </c>
      <c r="R31" s="199"/>
      <c r="S31" s="199"/>
    </row>
    <row r="32" spans="1:19" s="1" customFormat="1" ht="12.75">
      <c r="A32" s="395">
        <v>109093</v>
      </c>
      <c r="B32" s="420" t="s">
        <v>569</v>
      </c>
      <c r="C32" s="421"/>
      <c r="D32" s="422"/>
      <c r="E32" s="398"/>
      <c r="F32" s="423"/>
      <c r="G32" s="548">
        <f t="shared" si="5"/>
        <v>0</v>
      </c>
      <c r="H32" s="414"/>
      <c r="I32" s="540"/>
      <c r="J32" s="540"/>
      <c r="K32" s="403"/>
      <c r="L32" s="549">
        <f t="shared" si="3"/>
      </c>
      <c r="M32" s="542"/>
      <c r="N32" s="548">
        <v>0</v>
      </c>
      <c r="O32" s="542"/>
      <c r="P32" s="550">
        <f>BOKFØRT!C32</f>
        <v>0</v>
      </c>
      <c r="Q32" s="583">
        <f t="shared" si="4"/>
        <v>0</v>
      </c>
      <c r="R32" s="199"/>
      <c r="S32" s="199"/>
    </row>
    <row r="33" spans="1:19" s="1" customFormat="1" ht="13.5" thickBot="1">
      <c r="A33" s="425" t="s">
        <v>401</v>
      </c>
      <c r="B33" s="426"/>
      <c r="C33" s="427"/>
      <c r="D33" s="402"/>
      <c r="E33" s="428"/>
      <c r="F33" s="429" t="s">
        <v>570</v>
      </c>
      <c r="G33" s="551">
        <f>SUM(G8:G32)</f>
        <v>0</v>
      </c>
      <c r="H33" s="414"/>
      <c r="I33" s="540"/>
      <c r="J33" s="540"/>
      <c r="K33" s="394"/>
      <c r="L33" s="551">
        <f>SUM(L7:L32)</f>
        <v>0</v>
      </c>
      <c r="M33" s="542"/>
      <c r="N33" s="551">
        <v>0</v>
      </c>
      <c r="O33" s="542"/>
      <c r="P33" s="553">
        <f>SUM(P8:P32)</f>
        <v>0</v>
      </c>
      <c r="Q33" s="583">
        <f t="shared" si="4"/>
        <v>0</v>
      </c>
      <c r="R33" s="199"/>
      <c r="S33" s="199"/>
    </row>
    <row r="34" spans="1:19" s="1" customFormat="1" ht="0.75" customHeight="1" thickTop="1">
      <c r="A34" s="431"/>
      <c r="B34" s="432"/>
      <c r="C34" s="427"/>
      <c r="D34" s="433"/>
      <c r="E34" s="434"/>
      <c r="F34" s="433"/>
      <c r="G34" s="554"/>
      <c r="H34" s="401"/>
      <c r="I34" s="540"/>
      <c r="J34" s="540"/>
      <c r="K34" s="394"/>
      <c r="L34" s="555"/>
      <c r="M34" s="542"/>
      <c r="N34" s="554"/>
      <c r="O34" s="542"/>
      <c r="P34" s="556"/>
      <c r="Q34" s="583"/>
      <c r="R34" s="199"/>
      <c r="S34" s="199"/>
    </row>
    <row r="35" spans="1:19" s="1" customFormat="1" ht="24.75" customHeight="1" thickTop="1">
      <c r="A35" s="391" t="s">
        <v>516</v>
      </c>
      <c r="B35" s="435"/>
      <c r="C35" s="427"/>
      <c r="D35" s="511" t="s">
        <v>422</v>
      </c>
      <c r="E35" s="512" t="s">
        <v>423</v>
      </c>
      <c r="F35" s="511" t="s">
        <v>424</v>
      </c>
      <c r="G35" s="533" t="s">
        <v>425</v>
      </c>
      <c r="H35" s="511" t="s">
        <v>426</v>
      </c>
      <c r="I35" s="534" t="s">
        <v>427</v>
      </c>
      <c r="J35" s="534"/>
      <c r="K35" s="394"/>
      <c r="L35" s="533" t="s">
        <v>688</v>
      </c>
      <c r="M35" s="536"/>
      <c r="N35" s="533" t="s">
        <v>425</v>
      </c>
      <c r="O35" s="536"/>
      <c r="P35" s="533" t="s">
        <v>677</v>
      </c>
      <c r="Q35" s="583"/>
      <c r="R35" s="199"/>
      <c r="S35" s="199"/>
    </row>
    <row r="36" spans="1:19" s="1" customFormat="1" ht="12.75">
      <c r="A36" s="395">
        <v>111015</v>
      </c>
      <c r="B36" s="408" t="s">
        <v>545</v>
      </c>
      <c r="C36" s="397"/>
      <c r="D36" s="436"/>
      <c r="E36" s="436"/>
      <c r="F36" s="418"/>
      <c r="G36" s="537">
        <f aca="true" t="shared" si="6" ref="G36:G66">IF(X=0,(IF(Me=0,Sa,Me*Sa)),(IF(Me=0,Sa*X,Me*X*Sa)))</f>
        <v>0</v>
      </c>
      <c r="H36" s="538">
        <f aca="true" t="shared" si="7" ref="H36:H66">IF(Sum,Sos,0)</f>
        <v>0</v>
      </c>
      <c r="I36" s="539">
        <f aca="true" t="shared" si="8" ref="I36:I66">IF(Prosent&lt;&gt;0,(Sum*Prosent)/100,0)</f>
        <v>0</v>
      </c>
      <c r="J36" s="540"/>
      <c r="K36" s="403"/>
      <c r="L36" s="541">
        <f aca="true" t="shared" si="9" ref="L36:L99">IF(FMVAE&lt;&gt;"",(Sum*mva)-Sum,"")</f>
      </c>
      <c r="M36" s="542"/>
      <c r="N36" s="537">
        <v>0</v>
      </c>
      <c r="O36" s="542"/>
      <c r="P36" s="543">
        <f>BOKFØRT!C36</f>
        <v>0</v>
      </c>
      <c r="Q36" s="583">
        <f aca="true" t="shared" si="10" ref="Q36:Q100">G36+N36+P36</f>
        <v>0</v>
      </c>
      <c r="R36" s="199"/>
      <c r="S36" s="199"/>
    </row>
    <row r="37" spans="1:19" s="1" customFormat="1" ht="12.75">
      <c r="A37" s="395">
        <v>111016</v>
      </c>
      <c r="B37" s="408" t="s">
        <v>546</v>
      </c>
      <c r="C37" s="397"/>
      <c r="D37" s="436"/>
      <c r="E37" s="436"/>
      <c r="F37" s="418"/>
      <c r="G37" s="544">
        <f t="shared" si="6"/>
        <v>0</v>
      </c>
      <c r="H37" s="538">
        <f t="shared" si="7"/>
        <v>0</v>
      </c>
      <c r="I37" s="539">
        <f t="shared" si="8"/>
        <v>0</v>
      </c>
      <c r="J37" s="540"/>
      <c r="K37" s="403"/>
      <c r="L37" s="541">
        <f t="shared" si="9"/>
      </c>
      <c r="M37" s="542"/>
      <c r="N37" s="544">
        <v>0</v>
      </c>
      <c r="O37" s="542"/>
      <c r="P37" s="545">
        <f>BOKFØRT!C37</f>
        <v>0</v>
      </c>
      <c r="Q37" s="583">
        <f>G37+N37+P37</f>
        <v>0</v>
      </c>
      <c r="R37" s="199"/>
      <c r="S37" s="199"/>
    </row>
    <row r="38" spans="1:19" s="1" customFormat="1" ht="12.75">
      <c r="A38" s="395">
        <v>111017</v>
      </c>
      <c r="B38" s="408" t="s">
        <v>547</v>
      </c>
      <c r="C38" s="397"/>
      <c r="D38" s="436"/>
      <c r="E38" s="436"/>
      <c r="F38" s="418"/>
      <c r="G38" s="544">
        <f t="shared" si="6"/>
        <v>0</v>
      </c>
      <c r="H38" s="538">
        <f t="shared" si="7"/>
        <v>0</v>
      </c>
      <c r="I38" s="539">
        <f t="shared" si="8"/>
        <v>0</v>
      </c>
      <c r="J38" s="540"/>
      <c r="K38" s="403"/>
      <c r="L38" s="541">
        <f t="shared" si="9"/>
      </c>
      <c r="M38" s="542"/>
      <c r="N38" s="544">
        <v>0</v>
      </c>
      <c r="O38" s="542"/>
      <c r="P38" s="545">
        <f>BOKFØRT!C38</f>
        <v>0</v>
      </c>
      <c r="Q38" s="583">
        <f>G38+N38+P38</f>
        <v>0</v>
      </c>
      <c r="R38" s="199"/>
      <c r="S38" s="199"/>
    </row>
    <row r="39" spans="1:19" s="1" customFormat="1" ht="12.75">
      <c r="A39" s="395">
        <v>111110</v>
      </c>
      <c r="B39" s="408" t="s">
        <v>360</v>
      </c>
      <c r="C39" s="397"/>
      <c r="D39" s="436"/>
      <c r="E39" s="436"/>
      <c r="F39" s="418"/>
      <c r="G39" s="566">
        <f t="shared" si="6"/>
        <v>0</v>
      </c>
      <c r="H39" s="538">
        <f t="shared" si="7"/>
        <v>0</v>
      </c>
      <c r="I39" s="539">
        <f t="shared" si="8"/>
        <v>0</v>
      </c>
      <c r="J39" s="540"/>
      <c r="K39" s="403"/>
      <c r="L39" s="541">
        <f t="shared" si="9"/>
      </c>
      <c r="M39" s="542"/>
      <c r="N39" s="566">
        <v>0</v>
      </c>
      <c r="O39" s="542"/>
      <c r="P39" s="545">
        <f>BOKFØRT!C39</f>
        <v>0</v>
      </c>
      <c r="Q39" s="583">
        <f>G39+N39+P39</f>
        <v>0</v>
      </c>
      <c r="R39" s="199"/>
      <c r="S39" s="199"/>
    </row>
    <row r="40" spans="1:19" s="1" customFormat="1" ht="12.75">
      <c r="A40" s="395">
        <v>111116</v>
      </c>
      <c r="B40" s="408" t="s">
        <v>200</v>
      </c>
      <c r="C40" s="397"/>
      <c r="D40" s="436"/>
      <c r="E40" s="436"/>
      <c r="F40" s="418"/>
      <c r="G40" s="566">
        <f t="shared" si="6"/>
        <v>0</v>
      </c>
      <c r="H40" s="538">
        <f t="shared" si="7"/>
        <v>0</v>
      </c>
      <c r="I40" s="539">
        <f t="shared" si="8"/>
        <v>0</v>
      </c>
      <c r="J40" s="540"/>
      <c r="K40" s="403"/>
      <c r="L40" s="541">
        <f t="shared" si="9"/>
      </c>
      <c r="M40" s="542"/>
      <c r="N40" s="566">
        <v>0</v>
      </c>
      <c r="O40" s="542"/>
      <c r="P40" s="545">
        <f>BOKFØRT!C40</f>
        <v>0</v>
      </c>
      <c r="Q40" s="583">
        <f>G40+N40+P40</f>
        <v>0</v>
      </c>
      <c r="R40" s="199"/>
      <c r="S40" s="199"/>
    </row>
    <row r="41" spans="1:19" s="1" customFormat="1" ht="12.75">
      <c r="A41" s="395">
        <v>111120</v>
      </c>
      <c r="B41" s="408" t="s">
        <v>571</v>
      </c>
      <c r="C41" s="397"/>
      <c r="D41" s="436"/>
      <c r="E41" s="436"/>
      <c r="F41" s="418"/>
      <c r="G41" s="544">
        <f t="shared" si="6"/>
        <v>0</v>
      </c>
      <c r="H41" s="538">
        <f t="shared" si="7"/>
        <v>0</v>
      </c>
      <c r="I41" s="539">
        <f t="shared" si="8"/>
        <v>0</v>
      </c>
      <c r="J41" s="540"/>
      <c r="K41" s="403"/>
      <c r="L41" s="541">
        <f t="shared" si="9"/>
      </c>
      <c r="M41" s="542"/>
      <c r="N41" s="544">
        <v>0</v>
      </c>
      <c r="O41" s="542"/>
      <c r="P41" s="545">
        <f>BOKFØRT!C41</f>
        <v>0</v>
      </c>
      <c r="Q41" s="583">
        <f t="shared" si="10"/>
        <v>0</v>
      </c>
      <c r="R41" s="199"/>
      <c r="S41" s="199"/>
    </row>
    <row r="42" spans="1:19" s="1" customFormat="1" ht="12.75">
      <c r="A42" s="395">
        <v>111124</v>
      </c>
      <c r="B42" s="437" t="s">
        <v>613</v>
      </c>
      <c r="C42" s="397"/>
      <c r="D42" s="436"/>
      <c r="E42" s="436"/>
      <c r="F42" s="418"/>
      <c r="G42" s="544">
        <f t="shared" si="6"/>
        <v>0</v>
      </c>
      <c r="H42" s="538">
        <f t="shared" si="7"/>
        <v>0</v>
      </c>
      <c r="I42" s="539">
        <f t="shared" si="8"/>
        <v>0</v>
      </c>
      <c r="J42" s="540"/>
      <c r="K42" s="403"/>
      <c r="L42" s="541">
        <f t="shared" si="9"/>
      </c>
      <c r="M42" s="542"/>
      <c r="N42" s="544">
        <v>0</v>
      </c>
      <c r="O42" s="542"/>
      <c r="P42" s="545">
        <f>BOKFØRT!C42</f>
        <v>0</v>
      </c>
      <c r="Q42" s="583">
        <f t="shared" si="10"/>
        <v>0</v>
      </c>
      <c r="R42" s="199"/>
      <c r="S42" s="199"/>
    </row>
    <row r="43" spans="1:19" s="1" customFormat="1" ht="12.75">
      <c r="A43" s="395">
        <v>111125</v>
      </c>
      <c r="B43" s="408" t="s">
        <v>614</v>
      </c>
      <c r="C43" s="397"/>
      <c r="D43" s="438"/>
      <c r="E43" s="436"/>
      <c r="F43" s="439">
        <f>IF(D43=0,0,+G42)</f>
        <v>0</v>
      </c>
      <c r="G43" s="544">
        <f t="shared" si="6"/>
        <v>0</v>
      </c>
      <c r="H43" s="538">
        <f t="shared" si="7"/>
        <v>0</v>
      </c>
      <c r="I43" s="539">
        <f t="shared" si="8"/>
        <v>0</v>
      </c>
      <c r="J43" s="540"/>
      <c r="K43" s="403"/>
      <c r="L43" s="541">
        <f t="shared" si="9"/>
      </c>
      <c r="M43" s="542"/>
      <c r="N43" s="544">
        <v>0</v>
      </c>
      <c r="O43" s="542"/>
      <c r="P43" s="545">
        <f>BOKFØRT!C43</f>
        <v>0</v>
      </c>
      <c r="Q43" s="583">
        <f t="shared" si="10"/>
        <v>0</v>
      </c>
      <c r="R43" s="199"/>
      <c r="S43" s="199"/>
    </row>
    <row r="44" spans="1:19" s="1" customFormat="1" ht="12.75">
      <c r="A44" s="395">
        <v>111126</v>
      </c>
      <c r="B44" s="437" t="s">
        <v>572</v>
      </c>
      <c r="C44" s="397"/>
      <c r="D44" s="436"/>
      <c r="E44" s="436"/>
      <c r="F44" s="418"/>
      <c r="G44" s="544">
        <f t="shared" si="6"/>
        <v>0</v>
      </c>
      <c r="H44" s="538">
        <f t="shared" si="7"/>
        <v>0</v>
      </c>
      <c r="I44" s="539">
        <f t="shared" si="8"/>
        <v>0</v>
      </c>
      <c r="J44" s="540"/>
      <c r="K44" s="403"/>
      <c r="L44" s="541">
        <f t="shared" si="9"/>
      </c>
      <c r="M44" s="542"/>
      <c r="N44" s="544">
        <v>0</v>
      </c>
      <c r="O44" s="542"/>
      <c r="P44" s="545">
        <f>BOKFØRT!C44</f>
        <v>0</v>
      </c>
      <c r="Q44" s="583">
        <f t="shared" si="10"/>
        <v>0</v>
      </c>
      <c r="R44" s="199"/>
      <c r="S44" s="199"/>
    </row>
    <row r="45" spans="1:19" s="1" customFormat="1" ht="12.75">
      <c r="A45" s="395">
        <v>111127</v>
      </c>
      <c r="B45" s="408" t="s">
        <v>573</v>
      </c>
      <c r="C45" s="397"/>
      <c r="D45" s="438"/>
      <c r="E45" s="436"/>
      <c r="F45" s="439">
        <f>IF(D45=0,0,+G44)</f>
        <v>0</v>
      </c>
      <c r="G45" s="544">
        <f t="shared" si="6"/>
        <v>0</v>
      </c>
      <c r="H45" s="538">
        <f t="shared" si="7"/>
        <v>0</v>
      </c>
      <c r="I45" s="539">
        <f t="shared" si="8"/>
        <v>0</v>
      </c>
      <c r="J45" s="540"/>
      <c r="K45" s="403"/>
      <c r="L45" s="541">
        <f t="shared" si="9"/>
      </c>
      <c r="M45" s="542"/>
      <c r="N45" s="544">
        <v>0</v>
      </c>
      <c r="O45" s="542"/>
      <c r="P45" s="545">
        <f>BOKFØRT!C45</f>
        <v>0</v>
      </c>
      <c r="Q45" s="583">
        <f t="shared" si="10"/>
        <v>0</v>
      </c>
      <c r="R45" s="199"/>
      <c r="S45" s="199"/>
    </row>
    <row r="46" spans="1:19" s="1" customFormat="1" ht="12.75">
      <c r="A46" s="395">
        <v>111130</v>
      </c>
      <c r="B46" s="437" t="s">
        <v>429</v>
      </c>
      <c r="C46" s="397"/>
      <c r="D46" s="436"/>
      <c r="E46" s="436"/>
      <c r="F46" s="418"/>
      <c r="G46" s="544">
        <f t="shared" si="6"/>
        <v>0</v>
      </c>
      <c r="H46" s="538">
        <f t="shared" si="7"/>
        <v>0</v>
      </c>
      <c r="I46" s="539">
        <f t="shared" si="8"/>
        <v>0</v>
      </c>
      <c r="J46" s="540"/>
      <c r="K46" s="403"/>
      <c r="L46" s="541">
        <f t="shared" si="9"/>
      </c>
      <c r="M46" s="542"/>
      <c r="N46" s="544">
        <v>0</v>
      </c>
      <c r="O46" s="542"/>
      <c r="P46" s="545">
        <f>BOKFØRT!C46</f>
        <v>0</v>
      </c>
      <c r="Q46" s="583">
        <f t="shared" si="10"/>
        <v>0</v>
      </c>
      <c r="R46" s="199"/>
      <c r="S46" s="199"/>
    </row>
    <row r="47" spans="1:19" s="1" customFormat="1" ht="12.75">
      <c r="A47" s="395">
        <v>111131</v>
      </c>
      <c r="B47" s="408" t="s">
        <v>432</v>
      </c>
      <c r="C47" s="397"/>
      <c r="D47" s="438"/>
      <c r="E47" s="436"/>
      <c r="F47" s="439">
        <f>IF(D47=0,0,+G46)</f>
        <v>0</v>
      </c>
      <c r="G47" s="544">
        <f t="shared" si="6"/>
        <v>0</v>
      </c>
      <c r="H47" s="538">
        <f t="shared" si="7"/>
        <v>0</v>
      </c>
      <c r="I47" s="539">
        <f t="shared" si="8"/>
        <v>0</v>
      </c>
      <c r="J47" s="540"/>
      <c r="K47" s="403"/>
      <c r="L47" s="541">
        <f t="shared" si="9"/>
      </c>
      <c r="M47" s="542"/>
      <c r="N47" s="544">
        <v>0</v>
      </c>
      <c r="O47" s="542"/>
      <c r="P47" s="545">
        <f>BOKFØRT!C47</f>
        <v>0</v>
      </c>
      <c r="Q47" s="583">
        <f t="shared" si="10"/>
        <v>0</v>
      </c>
      <c r="R47" s="199"/>
      <c r="S47" s="199"/>
    </row>
    <row r="48" spans="1:19" s="1" customFormat="1" ht="12.75">
      <c r="A48" s="395">
        <v>111140</v>
      </c>
      <c r="B48" s="437" t="s">
        <v>775</v>
      </c>
      <c r="C48" s="397"/>
      <c r="D48" s="436"/>
      <c r="E48" s="436"/>
      <c r="F48" s="418"/>
      <c r="G48" s="544">
        <f t="shared" si="6"/>
        <v>0</v>
      </c>
      <c r="H48" s="538">
        <f t="shared" si="7"/>
        <v>0</v>
      </c>
      <c r="I48" s="539">
        <f t="shared" si="8"/>
        <v>0</v>
      </c>
      <c r="J48" s="540"/>
      <c r="K48" s="403"/>
      <c r="L48" s="541">
        <f t="shared" si="9"/>
      </c>
      <c r="M48" s="542"/>
      <c r="N48" s="544">
        <v>0</v>
      </c>
      <c r="O48" s="542"/>
      <c r="P48" s="545">
        <f>BOKFØRT!C48</f>
        <v>0</v>
      </c>
      <c r="Q48" s="583">
        <f t="shared" si="10"/>
        <v>0</v>
      </c>
      <c r="R48" s="199"/>
      <c r="S48" s="199"/>
    </row>
    <row r="49" spans="1:19" s="1" customFormat="1" ht="12.75">
      <c r="A49" s="395">
        <v>111141</v>
      </c>
      <c r="B49" s="408" t="s">
        <v>781</v>
      </c>
      <c r="C49" s="397"/>
      <c r="D49" s="438"/>
      <c r="E49" s="436"/>
      <c r="F49" s="439">
        <f>IF(D49=0,0,+G48)</f>
        <v>0</v>
      </c>
      <c r="G49" s="544">
        <f t="shared" si="6"/>
        <v>0</v>
      </c>
      <c r="H49" s="538">
        <f t="shared" si="7"/>
        <v>0</v>
      </c>
      <c r="I49" s="539">
        <f t="shared" si="8"/>
        <v>0</v>
      </c>
      <c r="J49" s="540"/>
      <c r="K49" s="403"/>
      <c r="L49" s="541">
        <f t="shared" si="9"/>
      </c>
      <c r="M49" s="542"/>
      <c r="N49" s="544">
        <v>0</v>
      </c>
      <c r="O49" s="542"/>
      <c r="P49" s="545">
        <f>BOKFØRT!C49</f>
        <v>0</v>
      </c>
      <c r="Q49" s="583">
        <f t="shared" si="10"/>
        <v>0</v>
      </c>
      <c r="R49" s="199"/>
      <c r="S49" s="199"/>
    </row>
    <row r="50" spans="1:19" s="1" customFormat="1" ht="12.75">
      <c r="A50" s="395">
        <v>111210</v>
      </c>
      <c r="B50" s="408" t="s">
        <v>576</v>
      </c>
      <c r="C50" s="397"/>
      <c r="D50" s="436"/>
      <c r="E50" s="436"/>
      <c r="F50" s="418"/>
      <c r="G50" s="544">
        <f t="shared" si="6"/>
        <v>0</v>
      </c>
      <c r="H50" s="538">
        <f t="shared" si="7"/>
        <v>0</v>
      </c>
      <c r="I50" s="539">
        <f t="shared" si="8"/>
        <v>0</v>
      </c>
      <c r="J50" s="540"/>
      <c r="K50" s="403"/>
      <c r="L50" s="541">
        <f t="shared" si="9"/>
      </c>
      <c r="M50" s="542"/>
      <c r="N50" s="544">
        <v>0</v>
      </c>
      <c r="O50" s="542"/>
      <c r="P50" s="545">
        <f>BOKFØRT!C50</f>
        <v>0</v>
      </c>
      <c r="Q50" s="583">
        <f t="shared" si="10"/>
        <v>0</v>
      </c>
      <c r="R50" s="199"/>
      <c r="S50" s="199"/>
    </row>
    <row r="51" spans="1:19" s="1" customFormat="1" ht="12.75">
      <c r="A51" s="395">
        <v>111214</v>
      </c>
      <c r="B51" s="408" t="s">
        <v>577</v>
      </c>
      <c r="C51" s="397"/>
      <c r="D51" s="436"/>
      <c r="E51" s="436"/>
      <c r="F51" s="418"/>
      <c r="G51" s="544">
        <f t="shared" si="6"/>
        <v>0</v>
      </c>
      <c r="H51" s="538">
        <f t="shared" si="7"/>
        <v>0</v>
      </c>
      <c r="I51" s="539">
        <f t="shared" si="8"/>
        <v>0</v>
      </c>
      <c r="J51" s="540"/>
      <c r="K51" s="403"/>
      <c r="L51" s="541">
        <f t="shared" si="9"/>
      </c>
      <c r="M51" s="542"/>
      <c r="N51" s="544">
        <v>0</v>
      </c>
      <c r="O51" s="542"/>
      <c r="P51" s="545">
        <f>BOKFØRT!C51</f>
        <v>0</v>
      </c>
      <c r="Q51" s="583">
        <f t="shared" si="10"/>
        <v>0</v>
      </c>
      <c r="R51" s="199"/>
      <c r="S51" s="199"/>
    </row>
    <row r="52" spans="1:19" s="1" customFormat="1" ht="12.75">
      <c r="A52" s="395">
        <v>111215</v>
      </c>
      <c r="B52" s="408" t="s">
        <v>578</v>
      </c>
      <c r="C52" s="397"/>
      <c r="D52" s="438"/>
      <c r="E52" s="436"/>
      <c r="F52" s="439">
        <f>IF(D52=0,0,+G51)</f>
        <v>0</v>
      </c>
      <c r="G52" s="544">
        <f t="shared" si="6"/>
        <v>0</v>
      </c>
      <c r="H52" s="538">
        <f t="shared" si="7"/>
        <v>0</v>
      </c>
      <c r="I52" s="539">
        <f t="shared" si="8"/>
        <v>0</v>
      </c>
      <c r="J52" s="540"/>
      <c r="K52" s="403"/>
      <c r="L52" s="541">
        <f t="shared" si="9"/>
      </c>
      <c r="M52" s="542"/>
      <c r="N52" s="544">
        <v>0</v>
      </c>
      <c r="O52" s="542"/>
      <c r="P52" s="545">
        <f>BOKFØRT!C52</f>
        <v>0</v>
      </c>
      <c r="Q52" s="583">
        <f t="shared" si="10"/>
        <v>0</v>
      </c>
      <c r="R52" s="199"/>
      <c r="S52" s="199"/>
    </row>
    <row r="53" spans="1:19" s="1" customFormat="1" ht="12.75">
      <c r="A53" s="395">
        <v>111310</v>
      </c>
      <c r="B53" s="437" t="s">
        <v>579</v>
      </c>
      <c r="C53" s="397"/>
      <c r="D53" s="436"/>
      <c r="E53" s="436"/>
      <c r="F53" s="418"/>
      <c r="G53" s="544">
        <f t="shared" si="6"/>
        <v>0</v>
      </c>
      <c r="H53" s="538">
        <f t="shared" si="7"/>
        <v>0</v>
      </c>
      <c r="I53" s="539">
        <f t="shared" si="8"/>
        <v>0</v>
      </c>
      <c r="J53" s="540"/>
      <c r="K53" s="403"/>
      <c r="L53" s="541">
        <f t="shared" si="9"/>
      </c>
      <c r="M53" s="542"/>
      <c r="N53" s="544">
        <v>0</v>
      </c>
      <c r="O53" s="542"/>
      <c r="P53" s="545">
        <f>BOKFØRT!C53</f>
        <v>0</v>
      </c>
      <c r="Q53" s="583">
        <f t="shared" si="10"/>
        <v>0</v>
      </c>
      <c r="R53" s="199"/>
      <c r="S53" s="199"/>
    </row>
    <row r="54" spans="1:19" s="1" customFormat="1" ht="12.75">
      <c r="A54" s="395">
        <v>111311</v>
      </c>
      <c r="B54" s="408" t="s">
        <v>580</v>
      </c>
      <c r="C54" s="397"/>
      <c r="D54" s="438"/>
      <c r="E54" s="436"/>
      <c r="F54" s="439">
        <f>IF(D54=0,0,+G53)</f>
        <v>0</v>
      </c>
      <c r="G54" s="544">
        <f t="shared" si="6"/>
        <v>0</v>
      </c>
      <c r="H54" s="538">
        <f t="shared" si="7"/>
        <v>0</v>
      </c>
      <c r="I54" s="539">
        <f t="shared" si="8"/>
        <v>0</v>
      </c>
      <c r="J54" s="540"/>
      <c r="K54" s="403"/>
      <c r="L54" s="541">
        <f t="shared" si="9"/>
      </c>
      <c r="M54" s="542"/>
      <c r="N54" s="544">
        <v>0</v>
      </c>
      <c r="O54" s="542"/>
      <c r="P54" s="545">
        <f>BOKFØRT!C54</f>
        <v>0</v>
      </c>
      <c r="Q54" s="583">
        <f t="shared" si="10"/>
        <v>0</v>
      </c>
      <c r="R54" s="199"/>
      <c r="S54" s="199"/>
    </row>
    <row r="55" spans="1:19" s="1" customFormat="1" ht="12.75">
      <c r="A55" s="395">
        <v>111610</v>
      </c>
      <c r="B55" s="437" t="s">
        <v>581</v>
      </c>
      <c r="C55" s="397"/>
      <c r="D55" s="436"/>
      <c r="E55" s="436"/>
      <c r="F55" s="418"/>
      <c r="G55" s="544">
        <f t="shared" si="6"/>
        <v>0</v>
      </c>
      <c r="H55" s="538">
        <f t="shared" si="7"/>
        <v>0</v>
      </c>
      <c r="I55" s="539">
        <f t="shared" si="8"/>
        <v>0</v>
      </c>
      <c r="J55" s="540"/>
      <c r="K55" s="403"/>
      <c r="L55" s="541">
        <f t="shared" si="9"/>
      </c>
      <c r="M55" s="542"/>
      <c r="N55" s="544">
        <v>0</v>
      </c>
      <c r="O55" s="542"/>
      <c r="P55" s="545">
        <f>BOKFØRT!C55</f>
        <v>0</v>
      </c>
      <c r="Q55" s="583">
        <f t="shared" si="10"/>
        <v>0</v>
      </c>
      <c r="R55" s="199"/>
      <c r="S55" s="199"/>
    </row>
    <row r="56" spans="1:19" s="1" customFormat="1" ht="12.75">
      <c r="A56" s="395">
        <v>111611</v>
      </c>
      <c r="B56" s="408" t="s">
        <v>583</v>
      </c>
      <c r="C56" s="397"/>
      <c r="D56" s="438"/>
      <c r="E56" s="436"/>
      <c r="F56" s="439">
        <f>IF(D56=0,0,+G55)</f>
        <v>0</v>
      </c>
      <c r="G56" s="544">
        <f t="shared" si="6"/>
        <v>0</v>
      </c>
      <c r="H56" s="538">
        <f t="shared" si="7"/>
        <v>0</v>
      </c>
      <c r="I56" s="539">
        <f t="shared" si="8"/>
        <v>0</v>
      </c>
      <c r="J56" s="540"/>
      <c r="K56" s="403"/>
      <c r="L56" s="541">
        <f t="shared" si="9"/>
      </c>
      <c r="M56" s="542"/>
      <c r="N56" s="544">
        <v>0</v>
      </c>
      <c r="O56" s="542"/>
      <c r="P56" s="545">
        <f>BOKFØRT!C56</f>
        <v>0</v>
      </c>
      <c r="Q56" s="583">
        <f t="shared" si="10"/>
        <v>0</v>
      </c>
      <c r="R56" s="199"/>
      <c r="S56" s="199"/>
    </row>
    <row r="57" spans="1:19" s="1" customFormat="1" ht="12.75">
      <c r="A57" s="395">
        <v>111810</v>
      </c>
      <c r="B57" s="408" t="s">
        <v>584</v>
      </c>
      <c r="C57" s="397"/>
      <c r="D57" s="436"/>
      <c r="E57" s="436"/>
      <c r="F57" s="418"/>
      <c r="G57" s="544">
        <f t="shared" si="6"/>
        <v>0</v>
      </c>
      <c r="H57" s="538">
        <f t="shared" si="7"/>
        <v>0</v>
      </c>
      <c r="I57" s="539">
        <f t="shared" si="8"/>
        <v>0</v>
      </c>
      <c r="J57" s="540"/>
      <c r="K57" s="403"/>
      <c r="L57" s="541">
        <f t="shared" si="9"/>
      </c>
      <c r="M57" s="542"/>
      <c r="N57" s="544">
        <v>0</v>
      </c>
      <c r="O57" s="542"/>
      <c r="P57" s="545">
        <f>BOKFØRT!C57</f>
        <v>0</v>
      </c>
      <c r="Q57" s="583">
        <f t="shared" si="10"/>
        <v>0</v>
      </c>
      <c r="R57" s="199"/>
      <c r="S57" s="199"/>
    </row>
    <row r="58" spans="1:19" s="1" customFormat="1" ht="12.75">
      <c r="A58" s="395">
        <v>111811</v>
      </c>
      <c r="B58" s="408" t="s">
        <v>585</v>
      </c>
      <c r="C58" s="397"/>
      <c r="D58" s="438"/>
      <c r="E58" s="436"/>
      <c r="F58" s="439">
        <f>IF(D58=0,0,+G57)</f>
        <v>0</v>
      </c>
      <c r="G58" s="544">
        <f t="shared" si="6"/>
        <v>0</v>
      </c>
      <c r="H58" s="538">
        <f t="shared" si="7"/>
        <v>0</v>
      </c>
      <c r="I58" s="539">
        <f t="shared" si="8"/>
        <v>0</v>
      </c>
      <c r="J58" s="540"/>
      <c r="K58" s="403"/>
      <c r="L58" s="541">
        <f t="shared" si="9"/>
      </c>
      <c r="M58" s="542"/>
      <c r="N58" s="544">
        <v>0</v>
      </c>
      <c r="O58" s="542"/>
      <c r="P58" s="545">
        <f>BOKFØRT!C58</f>
        <v>0</v>
      </c>
      <c r="Q58" s="583">
        <f t="shared" si="10"/>
        <v>0</v>
      </c>
      <c r="R58" s="199"/>
      <c r="S58" s="199"/>
    </row>
    <row r="59" spans="1:19" s="1" customFormat="1" ht="12.75">
      <c r="A59" s="395">
        <v>113210</v>
      </c>
      <c r="B59" s="408" t="s">
        <v>586</v>
      </c>
      <c r="C59" s="397"/>
      <c r="D59" s="436"/>
      <c r="E59" s="436"/>
      <c r="F59" s="418"/>
      <c r="G59" s="544">
        <f t="shared" si="6"/>
        <v>0</v>
      </c>
      <c r="H59" s="538">
        <f t="shared" si="7"/>
        <v>0</v>
      </c>
      <c r="I59" s="539">
        <f t="shared" si="8"/>
        <v>0</v>
      </c>
      <c r="J59" s="540"/>
      <c r="K59" s="403"/>
      <c r="L59" s="541">
        <f t="shared" si="9"/>
      </c>
      <c r="M59" s="542"/>
      <c r="N59" s="544">
        <v>0</v>
      </c>
      <c r="O59" s="542"/>
      <c r="P59" s="545">
        <f>BOKFØRT!C59</f>
        <v>0</v>
      </c>
      <c r="Q59" s="583">
        <f t="shared" si="10"/>
        <v>0</v>
      </c>
      <c r="R59" s="199"/>
      <c r="S59" s="199"/>
    </row>
    <row r="60" spans="1:19" s="1" customFormat="1" ht="12.75">
      <c r="A60" s="395">
        <v>113211</v>
      </c>
      <c r="B60" s="437" t="s">
        <v>587</v>
      </c>
      <c r="C60" s="397"/>
      <c r="D60" s="438"/>
      <c r="E60" s="436"/>
      <c r="F60" s="439">
        <f>IF(D60=0,0,+G59)</f>
        <v>0</v>
      </c>
      <c r="G60" s="544">
        <f t="shared" si="6"/>
        <v>0</v>
      </c>
      <c r="H60" s="538">
        <f t="shared" si="7"/>
        <v>0</v>
      </c>
      <c r="I60" s="539">
        <f t="shared" si="8"/>
        <v>0</v>
      </c>
      <c r="J60" s="540"/>
      <c r="K60" s="403"/>
      <c r="L60" s="541">
        <f t="shared" si="9"/>
      </c>
      <c r="M60" s="542"/>
      <c r="N60" s="544">
        <v>0</v>
      </c>
      <c r="O60" s="542"/>
      <c r="P60" s="545">
        <f>BOKFØRT!C60</f>
        <v>0</v>
      </c>
      <c r="Q60" s="583">
        <f t="shared" si="10"/>
        <v>0</v>
      </c>
      <c r="R60" s="199"/>
      <c r="S60" s="199"/>
    </row>
    <row r="61" spans="1:19" s="1" customFormat="1" ht="12.75">
      <c r="A61" s="395">
        <v>114010</v>
      </c>
      <c r="B61" s="408" t="s">
        <v>550</v>
      </c>
      <c r="C61" s="397"/>
      <c r="D61" s="436"/>
      <c r="E61" s="436"/>
      <c r="F61" s="418"/>
      <c r="G61" s="544">
        <f t="shared" si="6"/>
        <v>0</v>
      </c>
      <c r="H61" s="538">
        <f t="shared" si="7"/>
        <v>0</v>
      </c>
      <c r="I61" s="539">
        <f t="shared" si="8"/>
        <v>0</v>
      </c>
      <c r="J61" s="540"/>
      <c r="K61" s="403"/>
      <c r="L61" s="541">
        <f t="shared" si="9"/>
      </c>
      <c r="M61" s="542"/>
      <c r="N61" s="544">
        <v>0</v>
      </c>
      <c r="O61" s="542"/>
      <c r="P61" s="545">
        <f>BOKFØRT!C61</f>
        <v>0</v>
      </c>
      <c r="Q61" s="583">
        <f t="shared" si="10"/>
        <v>0</v>
      </c>
      <c r="R61" s="199"/>
      <c r="S61" s="199"/>
    </row>
    <row r="62" spans="1:19" s="1" customFormat="1" ht="12.75">
      <c r="A62" s="395">
        <v>114014</v>
      </c>
      <c r="B62" s="408" t="s">
        <v>588</v>
      </c>
      <c r="C62" s="397"/>
      <c r="D62" s="436"/>
      <c r="E62" s="436"/>
      <c r="F62" s="418"/>
      <c r="G62" s="544">
        <f t="shared" si="6"/>
        <v>0</v>
      </c>
      <c r="H62" s="538">
        <f t="shared" si="7"/>
        <v>0</v>
      </c>
      <c r="I62" s="539">
        <f t="shared" si="8"/>
        <v>0</v>
      </c>
      <c r="J62" s="540"/>
      <c r="K62" s="403"/>
      <c r="L62" s="541">
        <f t="shared" si="9"/>
      </c>
      <c r="M62" s="542"/>
      <c r="N62" s="544">
        <v>0</v>
      </c>
      <c r="O62" s="542"/>
      <c r="P62" s="545">
        <f>BOKFØRT!C62</f>
        <v>0</v>
      </c>
      <c r="Q62" s="583">
        <f t="shared" si="10"/>
        <v>0</v>
      </c>
      <c r="R62" s="199"/>
      <c r="S62" s="199"/>
    </row>
    <row r="63" spans="1:19" s="1" customFormat="1" ht="12.75">
      <c r="A63" s="395">
        <v>114015</v>
      </c>
      <c r="B63" s="408" t="s">
        <v>589</v>
      </c>
      <c r="C63" s="397"/>
      <c r="D63" s="438"/>
      <c r="E63" s="436"/>
      <c r="F63" s="439">
        <f>IF(D63=0,0,+G62)</f>
        <v>0</v>
      </c>
      <c r="G63" s="544">
        <f t="shared" si="6"/>
        <v>0</v>
      </c>
      <c r="H63" s="538">
        <f t="shared" si="7"/>
        <v>0</v>
      </c>
      <c r="I63" s="539">
        <f t="shared" si="8"/>
        <v>0</v>
      </c>
      <c r="J63" s="540"/>
      <c r="K63" s="403"/>
      <c r="L63" s="541">
        <f t="shared" si="9"/>
      </c>
      <c r="M63" s="542"/>
      <c r="N63" s="544">
        <v>0</v>
      </c>
      <c r="O63" s="542"/>
      <c r="P63" s="545">
        <f>BOKFØRT!C63</f>
        <v>0</v>
      </c>
      <c r="Q63" s="583">
        <f t="shared" si="10"/>
        <v>0</v>
      </c>
      <c r="R63" s="199"/>
      <c r="S63" s="199"/>
    </row>
    <row r="64" spans="1:19" s="1" customFormat="1" ht="12.75">
      <c r="A64" s="395">
        <v>114090</v>
      </c>
      <c r="B64" s="408" t="s">
        <v>552</v>
      </c>
      <c r="C64" s="397"/>
      <c r="D64" s="436"/>
      <c r="E64" s="436"/>
      <c r="F64" s="418"/>
      <c r="G64" s="544">
        <f t="shared" si="6"/>
        <v>0</v>
      </c>
      <c r="H64" s="538">
        <f t="shared" si="7"/>
        <v>0</v>
      </c>
      <c r="I64" s="539">
        <f t="shared" si="8"/>
        <v>0</v>
      </c>
      <c r="J64" s="540"/>
      <c r="K64" s="403"/>
      <c r="L64" s="541">
        <f t="shared" si="9"/>
      </c>
      <c r="M64" s="542"/>
      <c r="N64" s="544">
        <v>0</v>
      </c>
      <c r="O64" s="542"/>
      <c r="P64" s="545">
        <f>BOKFØRT!C64</f>
        <v>0</v>
      </c>
      <c r="Q64" s="583">
        <f t="shared" si="10"/>
        <v>0</v>
      </c>
      <c r="R64" s="199"/>
      <c r="S64" s="199"/>
    </row>
    <row r="65" spans="1:19" s="1" customFormat="1" ht="12.75">
      <c r="A65" s="395">
        <v>114091</v>
      </c>
      <c r="B65" s="408" t="s">
        <v>553</v>
      </c>
      <c r="C65" s="397"/>
      <c r="D65" s="438"/>
      <c r="E65" s="436"/>
      <c r="F65" s="439">
        <f>IF(D65=0,0,+G64)</f>
        <v>0</v>
      </c>
      <c r="G65" s="544">
        <f t="shared" si="6"/>
        <v>0</v>
      </c>
      <c r="H65" s="538">
        <f t="shared" si="7"/>
        <v>0</v>
      </c>
      <c r="I65" s="539">
        <f t="shared" si="8"/>
        <v>0</v>
      </c>
      <c r="J65" s="540"/>
      <c r="K65" s="403"/>
      <c r="L65" s="541">
        <f t="shared" si="9"/>
      </c>
      <c r="M65" s="542"/>
      <c r="N65" s="544">
        <v>0</v>
      </c>
      <c r="O65" s="542"/>
      <c r="P65" s="545">
        <f>BOKFØRT!C65</f>
        <v>0</v>
      </c>
      <c r="Q65" s="583">
        <f t="shared" si="10"/>
        <v>0</v>
      </c>
      <c r="R65" s="199"/>
      <c r="S65" s="199"/>
    </row>
    <row r="66" spans="1:19" s="1" customFormat="1" ht="12.75">
      <c r="A66" s="395">
        <v>114092</v>
      </c>
      <c r="B66" s="408" t="s">
        <v>590</v>
      </c>
      <c r="C66" s="397"/>
      <c r="D66" s="436"/>
      <c r="E66" s="436"/>
      <c r="F66" s="418"/>
      <c r="G66" s="544">
        <f t="shared" si="6"/>
        <v>0</v>
      </c>
      <c r="H66" s="538">
        <f t="shared" si="7"/>
        <v>0</v>
      </c>
      <c r="I66" s="539">
        <f t="shared" si="8"/>
        <v>0</v>
      </c>
      <c r="J66" s="540"/>
      <c r="K66" s="403"/>
      <c r="L66" s="541">
        <f t="shared" si="9"/>
      </c>
      <c r="M66" s="542"/>
      <c r="N66" s="544">
        <v>0</v>
      </c>
      <c r="O66" s="542"/>
      <c r="P66" s="545">
        <f>BOKFØRT!C66</f>
        <v>0</v>
      </c>
      <c r="Q66" s="583">
        <f t="shared" si="10"/>
        <v>0</v>
      </c>
      <c r="R66" s="199"/>
      <c r="S66" s="199"/>
    </row>
    <row r="67" spans="1:19" s="1" customFormat="1" ht="12.75">
      <c r="A67" s="395">
        <v>114095</v>
      </c>
      <c r="B67" s="408" t="s">
        <v>554</v>
      </c>
      <c r="C67" s="397"/>
      <c r="D67" s="440"/>
      <c r="E67" s="440"/>
      <c r="F67" s="413"/>
      <c r="G67" s="544">
        <f>SUM(I36:I66)</f>
        <v>0</v>
      </c>
      <c r="H67" s="414"/>
      <c r="I67" s="546" t="s">
        <v>555</v>
      </c>
      <c r="J67" s="546"/>
      <c r="K67" s="573"/>
      <c r="L67" s="541"/>
      <c r="M67" s="542"/>
      <c r="N67" s="544">
        <v>0</v>
      </c>
      <c r="O67" s="542"/>
      <c r="P67" s="545">
        <f>BOKFØRT!C67</f>
        <v>0</v>
      </c>
      <c r="Q67" s="583">
        <f t="shared" si="10"/>
        <v>0</v>
      </c>
      <c r="R67" s="199"/>
      <c r="S67" s="199"/>
    </row>
    <row r="68" spans="1:19" s="1" customFormat="1" ht="12.75">
      <c r="A68" s="395">
        <v>116110</v>
      </c>
      <c r="B68" s="408" t="s">
        <v>591</v>
      </c>
      <c r="C68" s="397"/>
      <c r="D68" s="436"/>
      <c r="E68" s="436"/>
      <c r="F68" s="418"/>
      <c r="G68" s="544">
        <f aca="true" t="shared" si="11" ref="G68:G99">IF(X=0,(IF(Me=0,Sa,Me*Sa)),(IF(Me=0,Sa*X,Me*X*Sa)))</f>
        <v>0</v>
      </c>
      <c r="H68" s="414"/>
      <c r="I68" s="540"/>
      <c r="J68" s="540"/>
      <c r="K68" s="403"/>
      <c r="L68" s="541">
        <f t="shared" si="9"/>
      </c>
      <c r="M68" s="542"/>
      <c r="N68" s="544">
        <v>0</v>
      </c>
      <c r="O68" s="542"/>
      <c r="P68" s="545">
        <f>BOKFØRT!C68</f>
        <v>0</v>
      </c>
      <c r="Q68" s="583">
        <f t="shared" si="10"/>
        <v>0</v>
      </c>
      <c r="R68" s="199"/>
      <c r="S68" s="199"/>
    </row>
    <row r="69" spans="1:19" s="1" customFormat="1" ht="12.75">
      <c r="A69" s="395">
        <v>116111</v>
      </c>
      <c r="B69" s="408" t="s">
        <v>592</v>
      </c>
      <c r="C69" s="397"/>
      <c r="D69" s="436"/>
      <c r="E69" s="436"/>
      <c r="F69" s="418"/>
      <c r="G69" s="544">
        <f t="shared" si="11"/>
        <v>0</v>
      </c>
      <c r="H69" s="414"/>
      <c r="I69" s="540"/>
      <c r="J69" s="540"/>
      <c r="K69" s="403"/>
      <c r="L69" s="541">
        <f t="shared" si="9"/>
      </c>
      <c r="M69" s="542"/>
      <c r="N69" s="544">
        <v>0</v>
      </c>
      <c r="O69" s="542"/>
      <c r="P69" s="545">
        <f>BOKFØRT!C69</f>
        <v>0</v>
      </c>
      <c r="Q69" s="583">
        <f t="shared" si="10"/>
        <v>0</v>
      </c>
      <c r="R69" s="199"/>
      <c r="S69" s="199"/>
    </row>
    <row r="70" spans="1:19" s="1" customFormat="1" ht="12.75">
      <c r="A70" s="395">
        <v>118610</v>
      </c>
      <c r="B70" s="408" t="s">
        <v>363</v>
      </c>
      <c r="C70" s="397"/>
      <c r="D70" s="436"/>
      <c r="E70" s="436"/>
      <c r="F70" s="418"/>
      <c r="G70" s="544">
        <f t="shared" si="11"/>
        <v>0</v>
      </c>
      <c r="H70" s="414"/>
      <c r="I70" s="547"/>
      <c r="J70" s="547"/>
      <c r="K70" s="403"/>
      <c r="L70" s="541">
        <f t="shared" si="9"/>
      </c>
      <c r="M70" s="542"/>
      <c r="N70" s="544">
        <v>0</v>
      </c>
      <c r="O70" s="542"/>
      <c r="P70" s="545">
        <f>BOKFØRT!C70</f>
        <v>0</v>
      </c>
      <c r="Q70" s="583">
        <f>G70+N70+P70</f>
        <v>0</v>
      </c>
      <c r="R70" s="199"/>
      <c r="S70" s="199"/>
    </row>
    <row r="71" spans="1:19" s="1" customFormat="1" ht="12.75">
      <c r="A71" s="395">
        <v>118620</v>
      </c>
      <c r="B71" s="408" t="s">
        <v>654</v>
      </c>
      <c r="C71" s="397"/>
      <c r="D71" s="436"/>
      <c r="E71" s="436"/>
      <c r="F71" s="418"/>
      <c r="G71" s="544">
        <f t="shared" si="11"/>
        <v>0</v>
      </c>
      <c r="H71" s="414"/>
      <c r="I71" s="547"/>
      <c r="J71" s="547"/>
      <c r="K71" s="403"/>
      <c r="L71" s="541">
        <f t="shared" si="9"/>
      </c>
      <c r="M71" s="542"/>
      <c r="N71" s="544">
        <v>0</v>
      </c>
      <c r="O71" s="542"/>
      <c r="P71" s="545">
        <f>BOKFØRT!C71</f>
        <v>0</v>
      </c>
      <c r="Q71" s="583">
        <f t="shared" si="10"/>
        <v>0</v>
      </c>
      <c r="R71" s="199"/>
      <c r="S71" s="199"/>
    </row>
    <row r="72" spans="1:19" s="1" customFormat="1" ht="12.75">
      <c r="A72" s="395">
        <v>118621</v>
      </c>
      <c r="B72" s="408" t="s">
        <v>364</v>
      </c>
      <c r="C72" s="397"/>
      <c r="D72" s="436"/>
      <c r="E72" s="436"/>
      <c r="F72" s="418"/>
      <c r="G72" s="544">
        <f t="shared" si="11"/>
        <v>0</v>
      </c>
      <c r="H72" s="414"/>
      <c r="I72" s="540"/>
      <c r="J72" s="540"/>
      <c r="K72" s="403"/>
      <c r="L72" s="541">
        <f t="shared" si="9"/>
      </c>
      <c r="M72" s="542"/>
      <c r="N72" s="544">
        <v>0</v>
      </c>
      <c r="O72" s="542"/>
      <c r="P72" s="545">
        <f>BOKFØRT!C72</f>
        <v>0</v>
      </c>
      <c r="Q72" s="583">
        <f t="shared" si="10"/>
        <v>0</v>
      </c>
      <c r="R72" s="199"/>
      <c r="S72" s="199"/>
    </row>
    <row r="73" spans="1:19" s="1" customFormat="1" ht="12.75">
      <c r="A73" s="395">
        <v>118622</v>
      </c>
      <c r="B73" s="408" t="s">
        <v>593</v>
      </c>
      <c r="C73" s="397"/>
      <c r="D73" s="436"/>
      <c r="E73" s="436"/>
      <c r="F73" s="418"/>
      <c r="G73" s="544">
        <f t="shared" si="11"/>
        <v>0</v>
      </c>
      <c r="H73" s="414"/>
      <c r="I73" s="547"/>
      <c r="J73" s="547"/>
      <c r="K73" s="403"/>
      <c r="L73" s="541">
        <f t="shared" si="9"/>
      </c>
      <c r="M73" s="542"/>
      <c r="N73" s="544">
        <v>0</v>
      </c>
      <c r="O73" s="542"/>
      <c r="P73" s="545">
        <f>BOKFØRT!C73</f>
        <v>0</v>
      </c>
      <c r="Q73" s="583">
        <f t="shared" si="10"/>
        <v>0</v>
      </c>
      <c r="R73" s="199"/>
      <c r="S73" s="199"/>
    </row>
    <row r="74" spans="1:19" s="1" customFormat="1" ht="12.75">
      <c r="A74" s="395">
        <v>119010</v>
      </c>
      <c r="B74" s="408" t="s">
        <v>556</v>
      </c>
      <c r="C74" s="397"/>
      <c r="D74" s="436"/>
      <c r="E74" s="436"/>
      <c r="F74" s="418"/>
      <c r="G74" s="544">
        <f t="shared" si="11"/>
        <v>0</v>
      </c>
      <c r="H74" s="414"/>
      <c r="I74" s="540"/>
      <c r="J74" s="540"/>
      <c r="K74" s="403"/>
      <c r="L74" s="541">
        <f t="shared" si="9"/>
      </c>
      <c r="M74" s="542"/>
      <c r="N74" s="544">
        <v>0</v>
      </c>
      <c r="O74" s="542"/>
      <c r="P74" s="545">
        <f>BOKFØRT!C74</f>
        <v>0</v>
      </c>
      <c r="Q74" s="583">
        <f t="shared" si="10"/>
        <v>0</v>
      </c>
      <c r="R74" s="199"/>
      <c r="S74" s="199"/>
    </row>
    <row r="75" spans="1:19" s="1" customFormat="1" ht="12.75">
      <c r="A75" s="395">
        <v>119013</v>
      </c>
      <c r="B75" s="408" t="s">
        <v>557</v>
      </c>
      <c r="C75" s="397"/>
      <c r="D75" s="436"/>
      <c r="E75" s="436"/>
      <c r="F75" s="418"/>
      <c r="G75" s="544">
        <f t="shared" si="11"/>
        <v>0</v>
      </c>
      <c r="H75" s="414"/>
      <c r="I75" s="540"/>
      <c r="J75" s="540"/>
      <c r="K75" s="403"/>
      <c r="L75" s="541">
        <f t="shared" si="9"/>
      </c>
      <c r="M75" s="542"/>
      <c r="N75" s="544">
        <v>0</v>
      </c>
      <c r="O75" s="542"/>
      <c r="P75" s="545">
        <f>BOKFØRT!C75</f>
        <v>0</v>
      </c>
      <c r="Q75" s="583">
        <f t="shared" si="10"/>
        <v>0</v>
      </c>
      <c r="R75" s="199"/>
      <c r="S75" s="199"/>
    </row>
    <row r="76" spans="1:19" s="1" customFormat="1" ht="12.75">
      <c r="A76" s="395">
        <v>119022</v>
      </c>
      <c r="B76" s="408" t="s">
        <v>558</v>
      </c>
      <c r="C76" s="397"/>
      <c r="D76" s="436"/>
      <c r="E76" s="436"/>
      <c r="F76" s="418"/>
      <c r="G76" s="544">
        <f t="shared" si="11"/>
        <v>0</v>
      </c>
      <c r="H76" s="414"/>
      <c r="I76" s="540"/>
      <c r="J76" s="540"/>
      <c r="K76" s="403"/>
      <c r="L76" s="541">
        <f t="shared" si="9"/>
      </c>
      <c r="M76" s="542"/>
      <c r="N76" s="544">
        <v>0</v>
      </c>
      <c r="O76" s="542"/>
      <c r="P76" s="545">
        <f>BOKFØRT!C76</f>
        <v>0</v>
      </c>
      <c r="Q76" s="583">
        <f t="shared" si="10"/>
        <v>0</v>
      </c>
      <c r="R76" s="199"/>
      <c r="S76" s="199"/>
    </row>
    <row r="77" spans="1:19" s="1" customFormat="1" ht="12.75">
      <c r="A77" s="395">
        <v>119025</v>
      </c>
      <c r="B77" s="408" t="s">
        <v>560</v>
      </c>
      <c r="C77" s="397"/>
      <c r="D77" s="436"/>
      <c r="E77" s="436"/>
      <c r="F77" s="418"/>
      <c r="G77" s="544">
        <f t="shared" si="11"/>
        <v>0</v>
      </c>
      <c r="H77" s="414"/>
      <c r="I77" s="540"/>
      <c r="J77" s="540"/>
      <c r="K77" s="403"/>
      <c r="L77" s="541">
        <f t="shared" si="9"/>
      </c>
      <c r="M77" s="542"/>
      <c r="N77" s="544">
        <v>0</v>
      </c>
      <c r="O77" s="542"/>
      <c r="P77" s="545">
        <f>BOKFØRT!C77</f>
        <v>0</v>
      </c>
      <c r="Q77" s="583">
        <f t="shared" si="10"/>
        <v>0</v>
      </c>
      <c r="R77" s="199"/>
      <c r="S77" s="199"/>
    </row>
    <row r="78" spans="1:19" s="1" customFormat="1" ht="12.75">
      <c r="A78" s="395">
        <v>119029</v>
      </c>
      <c r="B78" s="408" t="s">
        <v>561</v>
      </c>
      <c r="C78" s="397"/>
      <c r="D78" s="436"/>
      <c r="E78" s="436"/>
      <c r="F78" s="418"/>
      <c r="G78" s="544">
        <f t="shared" si="11"/>
        <v>0</v>
      </c>
      <c r="H78" s="414"/>
      <c r="I78" s="540"/>
      <c r="J78" s="540"/>
      <c r="K78" s="403"/>
      <c r="L78" s="541">
        <f t="shared" si="9"/>
      </c>
      <c r="M78" s="542"/>
      <c r="N78" s="544">
        <v>0</v>
      </c>
      <c r="O78" s="542"/>
      <c r="P78" s="545">
        <f>BOKFØRT!C78</f>
        <v>0</v>
      </c>
      <c r="Q78" s="583">
        <f t="shared" si="10"/>
        <v>0</v>
      </c>
      <c r="R78" s="199"/>
      <c r="S78" s="199"/>
    </row>
    <row r="79" spans="1:19" s="1" customFormat="1" ht="12.75">
      <c r="A79" s="395">
        <v>119030</v>
      </c>
      <c r="B79" s="408" t="s">
        <v>594</v>
      </c>
      <c r="C79" s="397"/>
      <c r="D79" s="436"/>
      <c r="E79" s="436"/>
      <c r="F79" s="418"/>
      <c r="G79" s="544">
        <f t="shared" si="11"/>
        <v>0</v>
      </c>
      <c r="H79" s="414"/>
      <c r="I79" s="540"/>
      <c r="J79" s="540"/>
      <c r="K79" s="403"/>
      <c r="L79" s="541">
        <f t="shared" si="9"/>
      </c>
      <c r="M79" s="542"/>
      <c r="N79" s="544">
        <v>0</v>
      </c>
      <c r="O79" s="542"/>
      <c r="P79" s="545">
        <f>BOKFØRT!C79</f>
        <v>0</v>
      </c>
      <c r="Q79" s="583">
        <f t="shared" si="10"/>
        <v>0</v>
      </c>
      <c r="R79" s="199"/>
      <c r="S79" s="199"/>
    </row>
    <row r="80" spans="1:19" s="1" customFormat="1" ht="12.75">
      <c r="A80" s="395">
        <v>119040</v>
      </c>
      <c r="B80" s="408" t="s">
        <v>769</v>
      </c>
      <c r="C80" s="397"/>
      <c r="D80" s="436"/>
      <c r="E80" s="436"/>
      <c r="F80" s="418"/>
      <c r="G80" s="544">
        <f t="shared" si="11"/>
        <v>0</v>
      </c>
      <c r="H80" s="414"/>
      <c r="I80" s="540"/>
      <c r="J80" s="540"/>
      <c r="K80" s="403"/>
      <c r="L80" s="541">
        <f t="shared" si="9"/>
      </c>
      <c r="M80" s="542"/>
      <c r="N80" s="544">
        <v>0</v>
      </c>
      <c r="O80" s="542"/>
      <c r="P80" s="545">
        <f>BOKFØRT!C80</f>
        <v>0</v>
      </c>
      <c r="Q80" s="583">
        <f t="shared" si="10"/>
        <v>0</v>
      </c>
      <c r="R80" s="199"/>
      <c r="S80" s="199"/>
    </row>
    <row r="81" spans="1:19" s="1" customFormat="1" ht="12.75">
      <c r="A81" s="395">
        <v>119042</v>
      </c>
      <c r="B81" s="408" t="s">
        <v>596</v>
      </c>
      <c r="C81" s="397"/>
      <c r="D81" s="436"/>
      <c r="E81" s="436"/>
      <c r="F81" s="418"/>
      <c r="G81" s="544">
        <f t="shared" si="11"/>
        <v>0</v>
      </c>
      <c r="H81" s="414"/>
      <c r="I81" s="540"/>
      <c r="J81" s="540"/>
      <c r="K81" s="403"/>
      <c r="L81" s="541">
        <f t="shared" si="9"/>
      </c>
      <c r="M81" s="542"/>
      <c r="N81" s="544">
        <v>0</v>
      </c>
      <c r="O81" s="542"/>
      <c r="P81" s="545">
        <f>BOKFØRT!C81</f>
        <v>0</v>
      </c>
      <c r="Q81" s="583">
        <f t="shared" si="10"/>
        <v>0</v>
      </c>
      <c r="R81" s="199"/>
      <c r="S81" s="199"/>
    </row>
    <row r="82" spans="1:19" s="1" customFormat="1" ht="12.75">
      <c r="A82" s="395">
        <v>119044</v>
      </c>
      <c r="B82" s="408" t="s">
        <v>597</v>
      </c>
      <c r="C82" s="397"/>
      <c r="D82" s="436"/>
      <c r="E82" s="436"/>
      <c r="F82" s="418"/>
      <c r="G82" s="544">
        <f t="shared" si="11"/>
        <v>0</v>
      </c>
      <c r="H82" s="414"/>
      <c r="I82" s="540"/>
      <c r="J82" s="540"/>
      <c r="K82" s="403"/>
      <c r="L82" s="541">
        <f t="shared" si="9"/>
      </c>
      <c r="M82" s="542"/>
      <c r="N82" s="544">
        <v>0</v>
      </c>
      <c r="O82" s="542"/>
      <c r="P82" s="545">
        <f>BOKFØRT!C82</f>
        <v>0</v>
      </c>
      <c r="Q82" s="583">
        <f t="shared" si="10"/>
        <v>0</v>
      </c>
      <c r="R82" s="199"/>
      <c r="S82" s="199"/>
    </row>
    <row r="83" spans="1:19" s="1" customFormat="1" ht="12.75">
      <c r="A83" s="395">
        <v>119060</v>
      </c>
      <c r="B83" s="408" t="s">
        <v>562</v>
      </c>
      <c r="C83" s="397"/>
      <c r="D83" s="436"/>
      <c r="E83" s="436"/>
      <c r="F83" s="418"/>
      <c r="G83" s="544">
        <f t="shared" si="11"/>
        <v>0</v>
      </c>
      <c r="H83" s="414"/>
      <c r="I83" s="540"/>
      <c r="J83" s="540"/>
      <c r="K83" s="403"/>
      <c r="L83" s="541">
        <f t="shared" si="9"/>
      </c>
      <c r="M83" s="542"/>
      <c r="N83" s="544">
        <v>0</v>
      </c>
      <c r="O83" s="542"/>
      <c r="P83" s="545">
        <f>BOKFØRT!C83</f>
        <v>0</v>
      </c>
      <c r="Q83" s="583">
        <f t="shared" si="10"/>
        <v>0</v>
      </c>
      <c r="R83" s="199"/>
      <c r="S83" s="199"/>
    </row>
    <row r="84" spans="1:19" s="1" customFormat="1" ht="12.75" customHeight="1">
      <c r="A84" s="395">
        <v>119061</v>
      </c>
      <c r="B84" s="408" t="s">
        <v>563</v>
      </c>
      <c r="C84" s="397"/>
      <c r="D84" s="436"/>
      <c r="E84" s="436"/>
      <c r="F84" s="418"/>
      <c r="G84" s="544">
        <f t="shared" si="11"/>
        <v>0</v>
      </c>
      <c r="H84" s="414"/>
      <c r="I84" s="540"/>
      <c r="J84" s="540"/>
      <c r="K84" s="403"/>
      <c r="L84" s="541">
        <f t="shared" si="9"/>
      </c>
      <c r="M84" s="542"/>
      <c r="N84" s="544">
        <v>0</v>
      </c>
      <c r="O84" s="542"/>
      <c r="P84" s="545">
        <f>BOKFØRT!C84</f>
        <v>0</v>
      </c>
      <c r="Q84" s="583">
        <f t="shared" si="10"/>
        <v>0</v>
      </c>
      <c r="R84" s="199"/>
      <c r="S84" s="199"/>
    </row>
    <row r="85" spans="1:19" s="1" customFormat="1" ht="12.75" customHeight="1">
      <c r="A85" s="395">
        <v>119069</v>
      </c>
      <c r="B85" s="408" t="s">
        <v>564</v>
      </c>
      <c r="C85" s="397" t="s">
        <v>416</v>
      </c>
      <c r="D85" s="436"/>
      <c r="E85" s="436"/>
      <c r="F85" s="418"/>
      <c r="G85" s="544">
        <f t="shared" si="11"/>
        <v>0</v>
      </c>
      <c r="H85" s="414"/>
      <c r="I85" s="540"/>
      <c r="J85" s="540"/>
      <c r="K85" s="403"/>
      <c r="L85" s="541">
        <f t="shared" si="9"/>
      </c>
      <c r="M85" s="542"/>
      <c r="N85" s="544">
        <v>0</v>
      </c>
      <c r="O85" s="542"/>
      <c r="P85" s="545">
        <f>BOKFØRT!C85</f>
        <v>0</v>
      </c>
      <c r="Q85" s="583">
        <f t="shared" si="10"/>
        <v>0</v>
      </c>
      <c r="R85" s="199"/>
      <c r="S85" s="199"/>
    </row>
    <row r="86" spans="1:19" s="1" customFormat="1" ht="12.75" customHeight="1">
      <c r="A86" s="395">
        <v>119070</v>
      </c>
      <c r="B86" s="408" t="s">
        <v>565</v>
      </c>
      <c r="C86" s="397"/>
      <c r="D86" s="436"/>
      <c r="E86" s="436"/>
      <c r="F86" s="418"/>
      <c r="G86" s="544">
        <f t="shared" si="11"/>
        <v>0</v>
      </c>
      <c r="H86" s="414"/>
      <c r="I86" s="540"/>
      <c r="J86" s="540"/>
      <c r="K86" s="403"/>
      <c r="L86" s="541">
        <f t="shared" si="9"/>
      </c>
      <c r="M86" s="542"/>
      <c r="N86" s="544">
        <v>0</v>
      </c>
      <c r="O86" s="542"/>
      <c r="P86" s="545">
        <f>BOKFØRT!C86</f>
        <v>0</v>
      </c>
      <c r="Q86" s="583">
        <f t="shared" si="10"/>
        <v>0</v>
      </c>
      <c r="R86" s="199"/>
      <c r="S86" s="199"/>
    </row>
    <row r="87" spans="1:19" s="1" customFormat="1" ht="12.75" customHeight="1">
      <c r="A87" s="395">
        <v>119072</v>
      </c>
      <c r="B87" s="408" t="s">
        <v>566</v>
      </c>
      <c r="C87" s="397"/>
      <c r="D87" s="436"/>
      <c r="E87" s="436"/>
      <c r="F87" s="418"/>
      <c r="G87" s="544">
        <f t="shared" si="11"/>
        <v>0</v>
      </c>
      <c r="H87" s="414"/>
      <c r="I87" s="540"/>
      <c r="J87" s="540"/>
      <c r="K87" s="403"/>
      <c r="L87" s="541">
        <f t="shared" si="9"/>
      </c>
      <c r="M87" s="542"/>
      <c r="N87" s="544">
        <v>0</v>
      </c>
      <c r="O87" s="542"/>
      <c r="P87" s="545">
        <f>BOKFØRT!C87</f>
        <v>0</v>
      </c>
      <c r="Q87" s="583">
        <f t="shared" si="10"/>
        <v>0</v>
      </c>
      <c r="R87" s="199"/>
      <c r="S87" s="199"/>
    </row>
    <row r="88" spans="1:19" s="1" customFormat="1" ht="12.75" customHeight="1">
      <c r="A88" s="395">
        <v>119073</v>
      </c>
      <c r="B88" s="408" t="s">
        <v>567</v>
      </c>
      <c r="C88" s="397"/>
      <c r="D88" s="436"/>
      <c r="E88" s="436"/>
      <c r="F88" s="418"/>
      <c r="G88" s="544">
        <f t="shared" si="11"/>
        <v>0</v>
      </c>
      <c r="H88" s="414"/>
      <c r="I88" s="540"/>
      <c r="J88" s="540"/>
      <c r="K88" s="403"/>
      <c r="L88" s="541">
        <f t="shared" si="9"/>
      </c>
      <c r="M88" s="542"/>
      <c r="N88" s="544">
        <v>0</v>
      </c>
      <c r="O88" s="542"/>
      <c r="P88" s="545">
        <f>BOKFØRT!C88</f>
        <v>0</v>
      </c>
      <c r="Q88" s="583">
        <f t="shared" si="10"/>
        <v>0</v>
      </c>
      <c r="R88" s="199"/>
      <c r="S88" s="199"/>
    </row>
    <row r="89" spans="1:19" s="1" customFormat="1" ht="12.75" customHeight="1">
      <c r="A89" s="395">
        <v>119077</v>
      </c>
      <c r="B89" s="408" t="s">
        <v>598</v>
      </c>
      <c r="C89" s="397"/>
      <c r="D89" s="436"/>
      <c r="E89" s="436"/>
      <c r="F89" s="418"/>
      <c r="G89" s="544">
        <f t="shared" si="11"/>
        <v>0</v>
      </c>
      <c r="H89" s="414"/>
      <c r="I89" s="540"/>
      <c r="J89" s="540"/>
      <c r="K89" s="403"/>
      <c r="L89" s="541">
        <f t="shared" si="9"/>
      </c>
      <c r="M89" s="542"/>
      <c r="N89" s="544">
        <v>0</v>
      </c>
      <c r="O89" s="542"/>
      <c r="P89" s="545">
        <f>BOKFØRT!C89</f>
        <v>0</v>
      </c>
      <c r="Q89" s="583">
        <f t="shared" si="10"/>
        <v>0</v>
      </c>
      <c r="R89" s="199"/>
      <c r="S89" s="199"/>
    </row>
    <row r="90" spans="1:19" s="1" customFormat="1" ht="12.75" customHeight="1">
      <c r="A90" s="395">
        <v>119078</v>
      </c>
      <c r="B90" s="408" t="s">
        <v>568</v>
      </c>
      <c r="C90" s="397"/>
      <c r="D90" s="436"/>
      <c r="E90" s="436"/>
      <c r="F90" s="418"/>
      <c r="G90" s="544">
        <f t="shared" si="11"/>
        <v>0</v>
      </c>
      <c r="H90" s="414"/>
      <c r="I90" s="540"/>
      <c r="J90" s="540"/>
      <c r="K90" s="403"/>
      <c r="L90" s="541">
        <f t="shared" si="9"/>
      </c>
      <c r="M90" s="542"/>
      <c r="N90" s="544">
        <v>0</v>
      </c>
      <c r="O90" s="542"/>
      <c r="P90" s="545">
        <f>BOKFØRT!C90</f>
        <v>0</v>
      </c>
      <c r="Q90" s="583">
        <f t="shared" si="10"/>
        <v>0</v>
      </c>
      <c r="R90" s="199"/>
      <c r="S90" s="199"/>
    </row>
    <row r="91" spans="1:19" s="1" customFormat="1" ht="12.75" customHeight="1">
      <c r="A91" s="395">
        <v>119081</v>
      </c>
      <c r="B91" s="408" t="s">
        <v>599</v>
      </c>
      <c r="C91" s="397"/>
      <c r="D91" s="436"/>
      <c r="E91" s="436"/>
      <c r="F91" s="418"/>
      <c r="G91" s="544">
        <f t="shared" si="11"/>
        <v>0</v>
      </c>
      <c r="H91" s="414"/>
      <c r="I91" s="540"/>
      <c r="J91" s="540"/>
      <c r="K91" s="403"/>
      <c r="L91" s="541">
        <f t="shared" si="9"/>
      </c>
      <c r="M91" s="542"/>
      <c r="N91" s="544">
        <v>0</v>
      </c>
      <c r="O91" s="542"/>
      <c r="P91" s="545">
        <f>BOKFØRT!C91</f>
        <v>0</v>
      </c>
      <c r="Q91" s="583">
        <f t="shared" si="10"/>
        <v>0</v>
      </c>
      <c r="R91" s="199"/>
      <c r="S91" s="199"/>
    </row>
    <row r="92" spans="1:19" s="1" customFormat="1" ht="12.75" customHeight="1">
      <c r="A92" s="395">
        <v>119082</v>
      </c>
      <c r="B92" s="408" t="s">
        <v>600</v>
      </c>
      <c r="C92" s="397"/>
      <c r="D92" s="436"/>
      <c r="E92" s="436"/>
      <c r="F92" s="418"/>
      <c r="G92" s="544">
        <f t="shared" si="11"/>
        <v>0</v>
      </c>
      <c r="H92" s="414"/>
      <c r="I92" s="554"/>
      <c r="J92" s="554"/>
      <c r="K92" s="403"/>
      <c r="L92" s="541">
        <f t="shared" si="9"/>
      </c>
      <c r="M92" s="542"/>
      <c r="N92" s="544">
        <v>0</v>
      </c>
      <c r="O92" s="542"/>
      <c r="P92" s="545">
        <f>BOKFØRT!C92</f>
        <v>0</v>
      </c>
      <c r="Q92" s="583">
        <f t="shared" si="10"/>
        <v>0</v>
      </c>
      <c r="R92" s="199"/>
      <c r="S92" s="199"/>
    </row>
    <row r="93" spans="1:19" s="1" customFormat="1" ht="12.75" customHeight="1">
      <c r="A93" s="395">
        <v>119083</v>
      </c>
      <c r="B93" s="408" t="s">
        <v>601</v>
      </c>
      <c r="C93" s="397"/>
      <c r="D93" s="436"/>
      <c r="E93" s="436"/>
      <c r="F93" s="418"/>
      <c r="G93" s="544">
        <f t="shared" si="11"/>
        <v>0</v>
      </c>
      <c r="H93" s="414"/>
      <c r="I93" s="540"/>
      <c r="J93" s="540"/>
      <c r="K93" s="403"/>
      <c r="L93" s="541">
        <f t="shared" si="9"/>
      </c>
      <c r="M93" s="542"/>
      <c r="N93" s="544">
        <v>0</v>
      </c>
      <c r="O93" s="542"/>
      <c r="P93" s="545">
        <f>BOKFØRT!C93</f>
        <v>0</v>
      </c>
      <c r="Q93" s="583">
        <f t="shared" si="10"/>
        <v>0</v>
      </c>
      <c r="R93" s="199"/>
      <c r="S93" s="199"/>
    </row>
    <row r="94" spans="1:19" s="1" customFormat="1" ht="12.75" customHeight="1">
      <c r="A94" s="395">
        <v>119084</v>
      </c>
      <c r="B94" s="408" t="s">
        <v>602</v>
      </c>
      <c r="C94" s="397"/>
      <c r="D94" s="436"/>
      <c r="E94" s="436"/>
      <c r="F94" s="418"/>
      <c r="G94" s="544">
        <f t="shared" si="11"/>
        <v>0</v>
      </c>
      <c r="H94" s="414"/>
      <c r="I94" s="540"/>
      <c r="J94" s="540"/>
      <c r="K94" s="403"/>
      <c r="L94" s="541">
        <f t="shared" si="9"/>
      </c>
      <c r="M94" s="542"/>
      <c r="N94" s="544">
        <v>0</v>
      </c>
      <c r="O94" s="542"/>
      <c r="P94" s="545">
        <f>BOKFØRT!C94</f>
        <v>0</v>
      </c>
      <c r="Q94" s="583">
        <f t="shared" si="10"/>
        <v>0</v>
      </c>
      <c r="R94" s="199"/>
      <c r="S94" s="199"/>
    </row>
    <row r="95" spans="1:19" s="1" customFormat="1" ht="12.75" customHeight="1">
      <c r="A95" s="395">
        <v>119085</v>
      </c>
      <c r="B95" s="408" t="s">
        <v>603</v>
      </c>
      <c r="C95" s="397"/>
      <c r="D95" s="436"/>
      <c r="E95" s="436"/>
      <c r="F95" s="418"/>
      <c r="G95" s="544">
        <f t="shared" si="11"/>
        <v>0</v>
      </c>
      <c r="H95" s="414"/>
      <c r="I95" s="540"/>
      <c r="J95" s="540"/>
      <c r="K95" s="403"/>
      <c r="L95" s="541">
        <f t="shared" si="9"/>
      </c>
      <c r="M95" s="542"/>
      <c r="N95" s="544">
        <v>0</v>
      </c>
      <c r="O95" s="542"/>
      <c r="P95" s="545">
        <f>BOKFØRT!C95</f>
        <v>0</v>
      </c>
      <c r="Q95" s="583">
        <f t="shared" si="10"/>
        <v>0</v>
      </c>
      <c r="R95" s="199"/>
      <c r="S95" s="199"/>
    </row>
    <row r="96" spans="1:19" s="5" customFormat="1" ht="12.75" customHeight="1">
      <c r="A96" s="395">
        <v>119090</v>
      </c>
      <c r="B96" s="441" t="s">
        <v>604</v>
      </c>
      <c r="C96" s="397"/>
      <c r="D96" s="442"/>
      <c r="E96" s="442"/>
      <c r="F96" s="443"/>
      <c r="G96" s="544">
        <f t="shared" si="11"/>
        <v>0</v>
      </c>
      <c r="H96" s="444"/>
      <c r="I96" s="557"/>
      <c r="J96" s="557"/>
      <c r="K96" s="403"/>
      <c r="L96" s="541">
        <f t="shared" si="9"/>
      </c>
      <c r="M96" s="542"/>
      <c r="N96" s="544">
        <v>0</v>
      </c>
      <c r="O96" s="542"/>
      <c r="P96" s="545">
        <f>BOKFØRT!C96</f>
        <v>0</v>
      </c>
      <c r="Q96" s="583">
        <f t="shared" si="10"/>
        <v>0</v>
      </c>
      <c r="R96" s="200"/>
      <c r="S96" s="200"/>
    </row>
    <row r="97" spans="1:19" s="5" customFormat="1" ht="12.75" customHeight="1">
      <c r="A97" s="395">
        <v>119091</v>
      </c>
      <c r="B97" s="441" t="s">
        <v>605</v>
      </c>
      <c r="C97" s="397"/>
      <c r="D97" s="442"/>
      <c r="E97" s="442"/>
      <c r="F97" s="443"/>
      <c r="G97" s="544">
        <f t="shared" si="11"/>
        <v>0</v>
      </c>
      <c r="H97" s="444"/>
      <c r="I97" s="557"/>
      <c r="J97" s="557"/>
      <c r="K97" s="403"/>
      <c r="L97" s="541">
        <f t="shared" si="9"/>
      </c>
      <c r="M97" s="542"/>
      <c r="N97" s="544">
        <v>0</v>
      </c>
      <c r="O97" s="542"/>
      <c r="P97" s="545">
        <f>BOKFØRT!C97</f>
        <v>0</v>
      </c>
      <c r="Q97" s="583">
        <f t="shared" si="10"/>
        <v>0</v>
      </c>
      <c r="R97" s="200"/>
      <c r="S97" s="200"/>
    </row>
    <row r="98" spans="1:19" s="5" customFormat="1" ht="12.75" customHeight="1">
      <c r="A98" s="395">
        <v>119092</v>
      </c>
      <c r="B98" s="441" t="s">
        <v>606</v>
      </c>
      <c r="C98" s="397"/>
      <c r="D98" s="442"/>
      <c r="E98" s="442"/>
      <c r="F98" s="443"/>
      <c r="G98" s="544">
        <f t="shared" si="11"/>
        <v>0</v>
      </c>
      <c r="H98" s="444"/>
      <c r="I98" s="557"/>
      <c r="J98" s="557"/>
      <c r="K98" s="403"/>
      <c r="L98" s="541">
        <f t="shared" si="9"/>
      </c>
      <c r="M98" s="542"/>
      <c r="N98" s="544">
        <v>0</v>
      </c>
      <c r="O98" s="542"/>
      <c r="P98" s="545">
        <f>BOKFØRT!C98</f>
        <v>0</v>
      </c>
      <c r="Q98" s="583">
        <f t="shared" si="10"/>
        <v>0</v>
      </c>
      <c r="R98" s="200"/>
      <c r="S98" s="200"/>
    </row>
    <row r="99" spans="1:19" s="5" customFormat="1" ht="12.75" customHeight="1">
      <c r="A99" s="395">
        <v>119093</v>
      </c>
      <c r="B99" s="420" t="s">
        <v>569</v>
      </c>
      <c r="C99" s="421"/>
      <c r="D99" s="422"/>
      <c r="E99" s="422"/>
      <c r="F99" s="423"/>
      <c r="G99" s="548">
        <f t="shared" si="11"/>
        <v>0</v>
      </c>
      <c r="H99" s="414"/>
      <c r="I99" s="540"/>
      <c r="J99" s="540"/>
      <c r="K99" s="403"/>
      <c r="L99" s="541">
        <f t="shared" si="9"/>
      </c>
      <c r="M99" s="542"/>
      <c r="N99" s="548">
        <v>0</v>
      </c>
      <c r="O99" s="542"/>
      <c r="P99" s="550">
        <f>BOKFØRT!C99</f>
        <v>0</v>
      </c>
      <c r="Q99" s="583">
        <f t="shared" si="10"/>
        <v>0</v>
      </c>
      <c r="R99" s="200"/>
      <c r="S99" s="200"/>
    </row>
    <row r="100" spans="1:19" s="1" customFormat="1" ht="13.5" thickBot="1">
      <c r="A100" s="445" t="s">
        <v>401</v>
      </c>
      <c r="B100" s="432"/>
      <c r="C100" s="427"/>
      <c r="D100" s="446"/>
      <c r="E100" s="447"/>
      <c r="F100" s="448" t="s">
        <v>570</v>
      </c>
      <c r="G100" s="558">
        <f>SUM(G36:G99)</f>
        <v>0</v>
      </c>
      <c r="H100" s="414"/>
      <c r="I100" s="540"/>
      <c r="J100" s="540"/>
      <c r="K100" s="394"/>
      <c r="L100" s="558">
        <f>SUM(L36:L99)</f>
        <v>0</v>
      </c>
      <c r="M100" s="542"/>
      <c r="N100" s="558">
        <v>0</v>
      </c>
      <c r="O100" s="542"/>
      <c r="P100" s="559">
        <f>SUM(P36:P99)</f>
        <v>0</v>
      </c>
      <c r="Q100" s="583">
        <f t="shared" si="10"/>
        <v>0</v>
      </c>
      <c r="R100" s="199"/>
      <c r="S100" s="199"/>
    </row>
    <row r="101" spans="1:19" s="1" customFormat="1" ht="0.75" customHeight="1" thickTop="1">
      <c r="A101" s="431"/>
      <c r="B101" s="432"/>
      <c r="C101" s="427"/>
      <c r="D101" s="446"/>
      <c r="E101" s="447"/>
      <c r="F101" s="448"/>
      <c r="G101" s="540"/>
      <c r="H101" s="414"/>
      <c r="I101" s="540"/>
      <c r="J101" s="540"/>
      <c r="K101" s="394"/>
      <c r="L101" s="560"/>
      <c r="M101" s="542"/>
      <c r="N101" s="540"/>
      <c r="O101" s="542"/>
      <c r="P101" s="561"/>
      <c r="Q101" s="583"/>
      <c r="R101" s="199"/>
      <c r="S101" s="199"/>
    </row>
    <row r="102" spans="1:19" s="1" customFormat="1" ht="24.75" customHeight="1" thickTop="1">
      <c r="A102" s="391" t="s">
        <v>518</v>
      </c>
      <c r="B102" s="435"/>
      <c r="C102" s="427"/>
      <c r="D102" s="511" t="s">
        <v>422</v>
      </c>
      <c r="E102" s="512" t="s">
        <v>423</v>
      </c>
      <c r="F102" s="511" t="s">
        <v>424</v>
      </c>
      <c r="G102" s="533" t="s">
        <v>425</v>
      </c>
      <c r="H102" s="511" t="s">
        <v>426</v>
      </c>
      <c r="I102" s="534" t="s">
        <v>427</v>
      </c>
      <c r="J102" s="534"/>
      <c r="K102" s="394"/>
      <c r="L102" s="533" t="s">
        <v>688</v>
      </c>
      <c r="M102" s="536"/>
      <c r="N102" s="533" t="s">
        <v>425</v>
      </c>
      <c r="O102" s="536"/>
      <c r="P102" s="533" t="s">
        <v>677</v>
      </c>
      <c r="Q102" s="583"/>
      <c r="R102" s="199"/>
      <c r="S102" s="199"/>
    </row>
    <row r="103" spans="1:19" s="1" customFormat="1" ht="12.75">
      <c r="A103" s="395">
        <v>211116</v>
      </c>
      <c r="B103" s="408" t="s">
        <v>200</v>
      </c>
      <c r="C103" s="397"/>
      <c r="D103" s="436"/>
      <c r="E103" s="436"/>
      <c r="F103" s="418"/>
      <c r="G103" s="537">
        <f aca="true" t="shared" si="12" ref="G103:G131">IF(X=0,(IF(Me=0,Sa,Me*Sa)),(IF(Me=0,Sa*X,Me*X*Sa)))</f>
        <v>0</v>
      </c>
      <c r="H103" s="538">
        <f aca="true" t="shared" si="13" ref="H103:H131">IF(Sum,Sos,0)</f>
        <v>0</v>
      </c>
      <c r="I103" s="539">
        <f aca="true" t="shared" si="14" ref="I103:I131">IF(Prosent&lt;&gt;0,(Sum*Prosent)/100,0)</f>
        <v>0</v>
      </c>
      <c r="J103" s="540"/>
      <c r="K103" s="403"/>
      <c r="L103" s="541">
        <f aca="true" t="shared" si="15" ref="L103:L150">IF(FMVAE&lt;&gt;"",(Sum*mva)-Sum,"")</f>
      </c>
      <c r="M103" s="542"/>
      <c r="N103" s="537">
        <v>0</v>
      </c>
      <c r="O103" s="542"/>
      <c r="P103" s="543">
        <f>BOKFØRT!C103</f>
        <v>0</v>
      </c>
      <c r="Q103" s="583">
        <f aca="true" t="shared" si="16" ref="Q103:Q151">G103+N103+P103</f>
        <v>0</v>
      </c>
      <c r="R103" s="199"/>
      <c r="S103" s="199"/>
    </row>
    <row r="104" spans="1:19" s="1" customFormat="1" ht="12.75">
      <c r="A104" s="395">
        <v>211120</v>
      </c>
      <c r="B104" s="408" t="s">
        <v>571</v>
      </c>
      <c r="C104" s="397"/>
      <c r="D104" s="436"/>
      <c r="E104" s="436"/>
      <c r="F104" s="418"/>
      <c r="G104" s="544">
        <f t="shared" si="12"/>
        <v>0</v>
      </c>
      <c r="H104" s="538">
        <f t="shared" si="13"/>
        <v>0</v>
      </c>
      <c r="I104" s="539">
        <f t="shared" si="14"/>
        <v>0</v>
      </c>
      <c r="J104" s="540"/>
      <c r="K104" s="403"/>
      <c r="L104" s="541">
        <f t="shared" si="15"/>
      </c>
      <c r="M104" s="542"/>
      <c r="N104" s="544">
        <v>0</v>
      </c>
      <c r="O104" s="542"/>
      <c r="P104" s="545">
        <f>BOKFØRT!C104</f>
        <v>0</v>
      </c>
      <c r="Q104" s="583">
        <f t="shared" si="16"/>
        <v>0</v>
      </c>
      <c r="R104" s="199"/>
      <c r="S104" s="199"/>
    </row>
    <row r="105" spans="1:19" s="1" customFormat="1" ht="12.75">
      <c r="A105" s="395">
        <v>211124</v>
      </c>
      <c r="B105" s="437" t="s">
        <v>613</v>
      </c>
      <c r="C105" s="397"/>
      <c r="D105" s="436"/>
      <c r="E105" s="436"/>
      <c r="F105" s="418"/>
      <c r="G105" s="544">
        <f t="shared" si="12"/>
        <v>0</v>
      </c>
      <c r="H105" s="538">
        <f t="shared" si="13"/>
        <v>0</v>
      </c>
      <c r="I105" s="539">
        <f t="shared" si="14"/>
        <v>0</v>
      </c>
      <c r="J105" s="540"/>
      <c r="K105" s="403"/>
      <c r="L105" s="541">
        <f t="shared" si="15"/>
      </c>
      <c r="M105" s="542"/>
      <c r="N105" s="544">
        <v>0</v>
      </c>
      <c r="O105" s="542"/>
      <c r="P105" s="545">
        <f>BOKFØRT!C105</f>
        <v>0</v>
      </c>
      <c r="Q105" s="583">
        <f t="shared" si="16"/>
        <v>0</v>
      </c>
      <c r="R105" s="199"/>
      <c r="S105" s="199"/>
    </row>
    <row r="106" spans="1:19" s="1" customFormat="1" ht="12.75">
      <c r="A106" s="395">
        <v>211125</v>
      </c>
      <c r="B106" s="408" t="s">
        <v>614</v>
      </c>
      <c r="C106" s="397"/>
      <c r="D106" s="438"/>
      <c r="E106" s="436"/>
      <c r="F106" s="439">
        <f>IF(D106=0,0,+G105)</f>
        <v>0</v>
      </c>
      <c r="G106" s="544">
        <f t="shared" si="12"/>
        <v>0</v>
      </c>
      <c r="H106" s="538">
        <f t="shared" si="13"/>
        <v>0</v>
      </c>
      <c r="I106" s="539">
        <f t="shared" si="14"/>
        <v>0</v>
      </c>
      <c r="J106" s="540"/>
      <c r="K106" s="403"/>
      <c r="L106" s="541">
        <f t="shared" si="15"/>
      </c>
      <c r="M106" s="542"/>
      <c r="N106" s="544">
        <v>0</v>
      </c>
      <c r="O106" s="542"/>
      <c r="P106" s="545">
        <f>BOKFØRT!C106</f>
        <v>0</v>
      </c>
      <c r="Q106" s="583">
        <f t="shared" si="16"/>
        <v>0</v>
      </c>
      <c r="R106" s="199"/>
      <c r="S106" s="199"/>
    </row>
    <row r="107" spans="1:19" s="1" customFormat="1" ht="12.75">
      <c r="A107" s="395">
        <v>211126</v>
      </c>
      <c r="B107" s="437" t="s">
        <v>572</v>
      </c>
      <c r="C107" s="397"/>
      <c r="D107" s="436"/>
      <c r="E107" s="436"/>
      <c r="F107" s="418"/>
      <c r="G107" s="544">
        <f t="shared" si="12"/>
        <v>0</v>
      </c>
      <c r="H107" s="538">
        <f t="shared" si="13"/>
        <v>0</v>
      </c>
      <c r="I107" s="539">
        <f t="shared" si="14"/>
        <v>0</v>
      </c>
      <c r="J107" s="540"/>
      <c r="K107" s="403"/>
      <c r="L107" s="541">
        <f t="shared" si="15"/>
      </c>
      <c r="M107" s="542"/>
      <c r="N107" s="544">
        <v>0</v>
      </c>
      <c r="O107" s="542"/>
      <c r="P107" s="545">
        <f>BOKFØRT!C107</f>
        <v>0</v>
      </c>
      <c r="Q107" s="583">
        <f t="shared" si="16"/>
        <v>0</v>
      </c>
      <c r="R107" s="199"/>
      <c r="S107" s="199"/>
    </row>
    <row r="108" spans="1:19" s="1" customFormat="1" ht="12.75">
      <c r="A108" s="395">
        <v>211127</v>
      </c>
      <c r="B108" s="408" t="s">
        <v>573</v>
      </c>
      <c r="C108" s="397"/>
      <c r="D108" s="438"/>
      <c r="E108" s="436"/>
      <c r="F108" s="439">
        <f>IF(D108=0,0,+G107)</f>
        <v>0</v>
      </c>
      <c r="G108" s="544">
        <f t="shared" si="12"/>
        <v>0</v>
      </c>
      <c r="H108" s="538">
        <f t="shared" si="13"/>
        <v>0</v>
      </c>
      <c r="I108" s="539">
        <f t="shared" si="14"/>
        <v>0</v>
      </c>
      <c r="J108" s="540"/>
      <c r="K108" s="403"/>
      <c r="L108" s="541">
        <f t="shared" si="15"/>
      </c>
      <c r="M108" s="542"/>
      <c r="N108" s="544">
        <v>0</v>
      </c>
      <c r="O108" s="542"/>
      <c r="P108" s="545">
        <f>BOKFØRT!C108</f>
        <v>0</v>
      </c>
      <c r="Q108" s="583">
        <f t="shared" si="16"/>
        <v>0</v>
      </c>
      <c r="R108" s="199"/>
      <c r="S108" s="199"/>
    </row>
    <row r="109" spans="1:19" s="1" customFormat="1" ht="12.75">
      <c r="A109" s="395">
        <v>211130</v>
      </c>
      <c r="B109" s="437" t="s">
        <v>429</v>
      </c>
      <c r="C109" s="397"/>
      <c r="D109" s="436"/>
      <c r="E109" s="436"/>
      <c r="F109" s="418"/>
      <c r="G109" s="544">
        <f t="shared" si="12"/>
        <v>0</v>
      </c>
      <c r="H109" s="538">
        <f t="shared" si="13"/>
        <v>0</v>
      </c>
      <c r="I109" s="539">
        <f t="shared" si="14"/>
        <v>0</v>
      </c>
      <c r="J109" s="540"/>
      <c r="K109" s="403"/>
      <c r="L109" s="541">
        <f t="shared" si="15"/>
      </c>
      <c r="M109" s="542"/>
      <c r="N109" s="544">
        <v>0</v>
      </c>
      <c r="O109" s="542"/>
      <c r="P109" s="545">
        <f>BOKFØRT!C109</f>
        <v>0</v>
      </c>
      <c r="Q109" s="583">
        <f t="shared" si="16"/>
        <v>0</v>
      </c>
      <c r="R109" s="199"/>
      <c r="S109" s="199"/>
    </row>
    <row r="110" spans="1:19" s="1" customFormat="1" ht="12.75">
      <c r="A110" s="395">
        <v>211131</v>
      </c>
      <c r="B110" s="408" t="s">
        <v>432</v>
      </c>
      <c r="C110" s="397"/>
      <c r="D110" s="438"/>
      <c r="E110" s="436"/>
      <c r="F110" s="439">
        <f>IF(D110=0,0,+G109)</f>
        <v>0</v>
      </c>
      <c r="G110" s="544">
        <f t="shared" si="12"/>
        <v>0</v>
      </c>
      <c r="H110" s="538">
        <f t="shared" si="13"/>
        <v>0</v>
      </c>
      <c r="I110" s="539">
        <f t="shared" si="14"/>
        <v>0</v>
      </c>
      <c r="J110" s="540"/>
      <c r="K110" s="403"/>
      <c r="L110" s="541">
        <f t="shared" si="15"/>
      </c>
      <c r="M110" s="542"/>
      <c r="N110" s="544">
        <v>0</v>
      </c>
      <c r="O110" s="542"/>
      <c r="P110" s="545">
        <f>BOKFØRT!C110</f>
        <v>0</v>
      </c>
      <c r="Q110" s="583">
        <f t="shared" si="16"/>
        <v>0</v>
      </c>
      <c r="R110" s="199"/>
      <c r="S110" s="199"/>
    </row>
    <row r="111" spans="1:19" s="1" customFormat="1" ht="12.75">
      <c r="A111" s="395">
        <v>211140</v>
      </c>
      <c r="B111" s="408" t="s">
        <v>574</v>
      </c>
      <c r="C111" s="397"/>
      <c r="D111" s="436"/>
      <c r="E111" s="436"/>
      <c r="F111" s="418"/>
      <c r="G111" s="544">
        <f t="shared" si="12"/>
        <v>0</v>
      </c>
      <c r="H111" s="538">
        <f t="shared" si="13"/>
        <v>0</v>
      </c>
      <c r="I111" s="539">
        <f t="shared" si="14"/>
        <v>0</v>
      </c>
      <c r="J111" s="540"/>
      <c r="K111" s="403"/>
      <c r="L111" s="541">
        <f t="shared" si="15"/>
      </c>
      <c r="M111" s="542"/>
      <c r="N111" s="544">
        <v>0</v>
      </c>
      <c r="O111" s="542"/>
      <c r="P111" s="545">
        <f>BOKFØRT!C111</f>
        <v>0</v>
      </c>
      <c r="Q111" s="583">
        <f t="shared" si="16"/>
        <v>0</v>
      </c>
      <c r="R111" s="199"/>
      <c r="S111" s="199"/>
    </row>
    <row r="112" spans="1:19" s="1" customFormat="1" ht="12.75">
      <c r="A112" s="395">
        <v>211141</v>
      </c>
      <c r="B112" s="408" t="s">
        <v>575</v>
      </c>
      <c r="C112" s="397"/>
      <c r="D112" s="438"/>
      <c r="E112" s="436"/>
      <c r="F112" s="439">
        <f>IF(D112=0,0,+G111)</f>
        <v>0</v>
      </c>
      <c r="G112" s="544">
        <f t="shared" si="12"/>
        <v>0</v>
      </c>
      <c r="H112" s="538">
        <f t="shared" si="13"/>
        <v>0</v>
      </c>
      <c r="I112" s="539">
        <f t="shared" si="14"/>
        <v>0</v>
      </c>
      <c r="J112" s="540"/>
      <c r="K112" s="403"/>
      <c r="L112" s="541">
        <f t="shared" si="15"/>
      </c>
      <c r="M112" s="542"/>
      <c r="N112" s="544">
        <v>0</v>
      </c>
      <c r="O112" s="542"/>
      <c r="P112" s="545">
        <f>BOKFØRT!C112</f>
        <v>0</v>
      </c>
      <c r="Q112" s="583">
        <f t="shared" si="16"/>
        <v>0</v>
      </c>
      <c r="R112" s="199"/>
      <c r="S112" s="199"/>
    </row>
    <row r="113" spans="1:19" s="1" customFormat="1" ht="12.75">
      <c r="A113" s="395">
        <v>211210</v>
      </c>
      <c r="B113" s="437" t="s">
        <v>576</v>
      </c>
      <c r="C113" s="397"/>
      <c r="D113" s="436"/>
      <c r="E113" s="436"/>
      <c r="F113" s="418"/>
      <c r="G113" s="544">
        <f t="shared" si="12"/>
        <v>0</v>
      </c>
      <c r="H113" s="538">
        <f t="shared" si="13"/>
        <v>0</v>
      </c>
      <c r="I113" s="539">
        <f t="shared" si="14"/>
        <v>0</v>
      </c>
      <c r="J113" s="540"/>
      <c r="K113" s="403"/>
      <c r="L113" s="541">
        <f t="shared" si="15"/>
      </c>
      <c r="M113" s="542"/>
      <c r="N113" s="544">
        <v>0</v>
      </c>
      <c r="O113" s="542"/>
      <c r="P113" s="545">
        <f>BOKFØRT!C113</f>
        <v>0</v>
      </c>
      <c r="Q113" s="583">
        <f t="shared" si="16"/>
        <v>0</v>
      </c>
      <c r="R113" s="199"/>
      <c r="S113" s="199"/>
    </row>
    <row r="114" spans="1:19" s="1" customFormat="1" ht="12.75">
      <c r="A114" s="395">
        <v>211214</v>
      </c>
      <c r="B114" s="408" t="s">
        <v>577</v>
      </c>
      <c r="C114" s="397"/>
      <c r="D114" s="436"/>
      <c r="E114" s="436"/>
      <c r="F114" s="418"/>
      <c r="G114" s="544">
        <f t="shared" si="12"/>
        <v>0</v>
      </c>
      <c r="H114" s="538">
        <f t="shared" si="13"/>
        <v>0</v>
      </c>
      <c r="I114" s="539">
        <f t="shared" si="14"/>
        <v>0</v>
      </c>
      <c r="J114" s="540"/>
      <c r="K114" s="403"/>
      <c r="L114" s="541">
        <f t="shared" si="15"/>
      </c>
      <c r="M114" s="542"/>
      <c r="N114" s="544">
        <v>0</v>
      </c>
      <c r="O114" s="542"/>
      <c r="P114" s="545">
        <f>BOKFØRT!C114</f>
        <v>0</v>
      </c>
      <c r="Q114" s="583">
        <f t="shared" si="16"/>
        <v>0</v>
      </c>
      <c r="R114" s="199"/>
      <c r="S114" s="199"/>
    </row>
    <row r="115" spans="1:19" s="1" customFormat="1" ht="12.75">
      <c r="A115" s="395">
        <v>211215</v>
      </c>
      <c r="B115" s="437" t="s">
        <v>578</v>
      </c>
      <c r="C115" s="397"/>
      <c r="D115" s="438"/>
      <c r="E115" s="436"/>
      <c r="F115" s="439">
        <f>IF(D115=0,0,+G114)</f>
        <v>0</v>
      </c>
      <c r="G115" s="544">
        <f t="shared" si="12"/>
        <v>0</v>
      </c>
      <c r="H115" s="538">
        <f t="shared" si="13"/>
        <v>0</v>
      </c>
      <c r="I115" s="539">
        <f t="shared" si="14"/>
        <v>0</v>
      </c>
      <c r="J115" s="540"/>
      <c r="K115" s="403"/>
      <c r="L115" s="541">
        <f t="shared" si="15"/>
      </c>
      <c r="M115" s="542"/>
      <c r="N115" s="544">
        <v>0</v>
      </c>
      <c r="O115" s="542"/>
      <c r="P115" s="545">
        <f>BOKFØRT!C115</f>
        <v>0</v>
      </c>
      <c r="Q115" s="583">
        <f t="shared" si="16"/>
        <v>0</v>
      </c>
      <c r="R115" s="199"/>
      <c r="S115" s="199"/>
    </row>
    <row r="116" spans="1:19" s="1" customFormat="1" ht="12.75">
      <c r="A116" s="395">
        <v>211240</v>
      </c>
      <c r="B116" s="408" t="s">
        <v>607</v>
      </c>
      <c r="C116" s="397"/>
      <c r="D116" s="436"/>
      <c r="E116" s="436"/>
      <c r="F116" s="418"/>
      <c r="G116" s="544">
        <f t="shared" si="12"/>
        <v>0</v>
      </c>
      <c r="H116" s="538">
        <f t="shared" si="13"/>
        <v>0</v>
      </c>
      <c r="I116" s="539">
        <f t="shared" si="14"/>
        <v>0</v>
      </c>
      <c r="J116" s="540"/>
      <c r="K116" s="403"/>
      <c r="L116" s="541">
        <f t="shared" si="15"/>
      </c>
      <c r="M116" s="542"/>
      <c r="N116" s="544">
        <v>0</v>
      </c>
      <c r="O116" s="542"/>
      <c r="P116" s="545">
        <f>BOKFØRT!C116</f>
        <v>0</v>
      </c>
      <c r="Q116" s="583">
        <f t="shared" si="16"/>
        <v>0</v>
      </c>
      <c r="R116" s="199"/>
      <c r="S116" s="199"/>
    </row>
    <row r="117" spans="1:19" s="1" customFormat="1" ht="12.75">
      <c r="A117" s="395">
        <v>211241</v>
      </c>
      <c r="B117" s="408" t="s">
        <v>608</v>
      </c>
      <c r="C117" s="397"/>
      <c r="D117" s="438"/>
      <c r="E117" s="436"/>
      <c r="F117" s="439">
        <f>IF(D117=0,0,+G116)</f>
        <v>0</v>
      </c>
      <c r="G117" s="544">
        <f t="shared" si="12"/>
        <v>0</v>
      </c>
      <c r="H117" s="538">
        <f t="shared" si="13"/>
        <v>0</v>
      </c>
      <c r="I117" s="539">
        <f t="shared" si="14"/>
        <v>0</v>
      </c>
      <c r="J117" s="540"/>
      <c r="K117" s="403"/>
      <c r="L117" s="541">
        <f t="shared" si="15"/>
      </c>
      <c r="M117" s="542"/>
      <c r="N117" s="544">
        <v>0</v>
      </c>
      <c r="O117" s="542"/>
      <c r="P117" s="545">
        <f>BOKFØRT!C117</f>
        <v>0</v>
      </c>
      <c r="Q117" s="583">
        <f t="shared" si="16"/>
        <v>0</v>
      </c>
      <c r="R117" s="199"/>
      <c r="S117" s="199"/>
    </row>
    <row r="118" spans="1:19" s="1" customFormat="1" ht="12.75">
      <c r="A118" s="395">
        <v>211310</v>
      </c>
      <c r="B118" s="408" t="s">
        <v>579</v>
      </c>
      <c r="C118" s="397"/>
      <c r="D118" s="436"/>
      <c r="E118" s="436"/>
      <c r="F118" s="418"/>
      <c r="G118" s="544">
        <f t="shared" si="12"/>
        <v>0</v>
      </c>
      <c r="H118" s="538">
        <f t="shared" si="13"/>
        <v>0</v>
      </c>
      <c r="I118" s="539">
        <f t="shared" si="14"/>
        <v>0</v>
      </c>
      <c r="J118" s="540"/>
      <c r="K118" s="403"/>
      <c r="L118" s="541">
        <f t="shared" si="15"/>
      </c>
      <c r="M118" s="542"/>
      <c r="N118" s="544">
        <v>0</v>
      </c>
      <c r="O118" s="542"/>
      <c r="P118" s="545">
        <f>BOKFØRT!C118</f>
        <v>0</v>
      </c>
      <c r="Q118" s="583">
        <f t="shared" si="16"/>
        <v>0</v>
      </c>
      <c r="R118" s="199"/>
      <c r="S118" s="199"/>
    </row>
    <row r="119" spans="1:19" s="1" customFormat="1" ht="12.75">
      <c r="A119" s="395">
        <v>211311</v>
      </c>
      <c r="B119" s="408" t="s">
        <v>580</v>
      </c>
      <c r="C119" s="397"/>
      <c r="D119" s="438"/>
      <c r="E119" s="436"/>
      <c r="F119" s="439">
        <f>IF(D119=0,0,+G118)</f>
        <v>0</v>
      </c>
      <c r="G119" s="544">
        <f t="shared" si="12"/>
        <v>0</v>
      </c>
      <c r="H119" s="538">
        <f t="shared" si="13"/>
        <v>0</v>
      </c>
      <c r="I119" s="539">
        <f t="shared" si="14"/>
        <v>0</v>
      </c>
      <c r="J119" s="540"/>
      <c r="K119" s="403"/>
      <c r="L119" s="541">
        <f t="shared" si="15"/>
      </c>
      <c r="M119" s="542"/>
      <c r="N119" s="544">
        <v>0</v>
      </c>
      <c r="O119" s="542"/>
      <c r="P119" s="545">
        <f>BOKFØRT!C119</f>
        <v>0</v>
      </c>
      <c r="Q119" s="583">
        <f t="shared" si="16"/>
        <v>0</v>
      </c>
      <c r="R119" s="199"/>
      <c r="S119" s="199"/>
    </row>
    <row r="120" spans="1:19" s="1" customFormat="1" ht="12.75">
      <c r="A120" s="395">
        <v>211610</v>
      </c>
      <c r="B120" s="408" t="s">
        <v>581</v>
      </c>
      <c r="C120" s="397"/>
      <c r="D120" s="436"/>
      <c r="E120" s="436"/>
      <c r="F120" s="418"/>
      <c r="G120" s="544">
        <f t="shared" si="12"/>
        <v>0</v>
      </c>
      <c r="H120" s="538">
        <f t="shared" si="13"/>
        <v>0</v>
      </c>
      <c r="I120" s="539">
        <f t="shared" si="14"/>
        <v>0</v>
      </c>
      <c r="J120" s="540"/>
      <c r="K120" s="403"/>
      <c r="L120" s="541">
        <f t="shared" si="15"/>
      </c>
      <c r="M120" s="542"/>
      <c r="N120" s="544">
        <v>0</v>
      </c>
      <c r="O120" s="542"/>
      <c r="P120" s="545">
        <f>BOKFØRT!C120</f>
        <v>0</v>
      </c>
      <c r="Q120" s="583">
        <f t="shared" si="16"/>
        <v>0</v>
      </c>
      <c r="R120" s="199"/>
      <c r="S120" s="199"/>
    </row>
    <row r="121" spans="1:19" s="1" customFormat="1" ht="12.75">
      <c r="A121" s="395">
        <v>211611</v>
      </c>
      <c r="B121" s="408" t="s">
        <v>583</v>
      </c>
      <c r="C121" s="397"/>
      <c r="D121" s="438"/>
      <c r="E121" s="436"/>
      <c r="F121" s="439">
        <f>IF(D121=0,0,+G120)</f>
        <v>0</v>
      </c>
      <c r="G121" s="544">
        <f t="shared" si="12"/>
        <v>0</v>
      </c>
      <c r="H121" s="538">
        <f t="shared" si="13"/>
        <v>0</v>
      </c>
      <c r="I121" s="539">
        <f t="shared" si="14"/>
        <v>0</v>
      </c>
      <c r="J121" s="540"/>
      <c r="K121" s="403"/>
      <c r="L121" s="541">
        <f t="shared" si="15"/>
      </c>
      <c r="M121" s="542"/>
      <c r="N121" s="544">
        <v>0</v>
      </c>
      <c r="O121" s="542"/>
      <c r="P121" s="545">
        <f>BOKFØRT!C121</f>
        <v>0</v>
      </c>
      <c r="Q121" s="583">
        <f t="shared" si="16"/>
        <v>0</v>
      </c>
      <c r="R121" s="199"/>
      <c r="S121" s="199"/>
    </row>
    <row r="122" spans="1:19" s="1" customFormat="1" ht="12.75">
      <c r="A122" s="395">
        <v>211810</v>
      </c>
      <c r="B122" s="437" t="s">
        <v>584</v>
      </c>
      <c r="C122" s="397"/>
      <c r="D122" s="436"/>
      <c r="E122" s="436"/>
      <c r="F122" s="418"/>
      <c r="G122" s="544">
        <f t="shared" si="12"/>
        <v>0</v>
      </c>
      <c r="H122" s="538">
        <f t="shared" si="13"/>
        <v>0</v>
      </c>
      <c r="I122" s="539">
        <f t="shared" si="14"/>
        <v>0</v>
      </c>
      <c r="J122" s="540"/>
      <c r="K122" s="403"/>
      <c r="L122" s="541">
        <f t="shared" si="15"/>
      </c>
      <c r="M122" s="542"/>
      <c r="N122" s="544">
        <v>0</v>
      </c>
      <c r="O122" s="542"/>
      <c r="P122" s="545">
        <f>BOKFØRT!C122</f>
        <v>0</v>
      </c>
      <c r="Q122" s="583">
        <f t="shared" si="16"/>
        <v>0</v>
      </c>
      <c r="R122" s="199"/>
      <c r="S122" s="199"/>
    </row>
    <row r="123" spans="1:19" s="1" customFormat="1" ht="12.75">
      <c r="A123" s="395">
        <v>211811</v>
      </c>
      <c r="B123" s="408" t="s">
        <v>585</v>
      </c>
      <c r="C123" s="397"/>
      <c r="D123" s="438"/>
      <c r="E123" s="436"/>
      <c r="F123" s="439">
        <f>IF(D123=0,0,+G122)</f>
        <v>0</v>
      </c>
      <c r="G123" s="544">
        <f t="shared" si="12"/>
        <v>0</v>
      </c>
      <c r="H123" s="538">
        <f t="shared" si="13"/>
        <v>0</v>
      </c>
      <c r="I123" s="539">
        <f t="shared" si="14"/>
        <v>0</v>
      </c>
      <c r="J123" s="540"/>
      <c r="K123" s="403"/>
      <c r="L123" s="541">
        <f t="shared" si="15"/>
      </c>
      <c r="M123" s="542"/>
      <c r="N123" s="544">
        <v>0</v>
      </c>
      <c r="O123" s="542"/>
      <c r="P123" s="545">
        <f>BOKFØRT!C123</f>
        <v>0</v>
      </c>
      <c r="Q123" s="583">
        <f t="shared" si="16"/>
        <v>0</v>
      </c>
      <c r="R123" s="199"/>
      <c r="S123" s="199"/>
    </row>
    <row r="124" spans="1:19" s="1" customFormat="1" ht="12.75">
      <c r="A124" s="395">
        <v>213210</v>
      </c>
      <c r="B124" s="437" t="s">
        <v>586</v>
      </c>
      <c r="C124" s="397"/>
      <c r="D124" s="436"/>
      <c r="E124" s="436"/>
      <c r="F124" s="418"/>
      <c r="G124" s="544">
        <f t="shared" si="12"/>
        <v>0</v>
      </c>
      <c r="H124" s="538">
        <f t="shared" si="13"/>
        <v>0</v>
      </c>
      <c r="I124" s="539">
        <f t="shared" si="14"/>
        <v>0</v>
      </c>
      <c r="J124" s="540"/>
      <c r="K124" s="403"/>
      <c r="L124" s="541">
        <f t="shared" si="15"/>
      </c>
      <c r="M124" s="542"/>
      <c r="N124" s="544">
        <v>0</v>
      </c>
      <c r="O124" s="542"/>
      <c r="P124" s="545">
        <f>BOKFØRT!C124</f>
        <v>0</v>
      </c>
      <c r="Q124" s="583">
        <f t="shared" si="16"/>
        <v>0</v>
      </c>
      <c r="R124" s="199"/>
      <c r="S124" s="199"/>
    </row>
    <row r="125" spans="1:19" s="1" customFormat="1" ht="12.75">
      <c r="A125" s="395">
        <v>213211</v>
      </c>
      <c r="B125" s="408" t="s">
        <v>587</v>
      </c>
      <c r="C125" s="397"/>
      <c r="D125" s="438"/>
      <c r="E125" s="436"/>
      <c r="F125" s="439">
        <f>IF(D125=0,0,+G124)</f>
        <v>0</v>
      </c>
      <c r="G125" s="544">
        <f t="shared" si="12"/>
        <v>0</v>
      </c>
      <c r="H125" s="538">
        <f t="shared" si="13"/>
        <v>0</v>
      </c>
      <c r="I125" s="539">
        <f t="shared" si="14"/>
        <v>0</v>
      </c>
      <c r="J125" s="540"/>
      <c r="K125" s="403"/>
      <c r="L125" s="541">
        <f t="shared" si="15"/>
      </c>
      <c r="M125" s="542"/>
      <c r="N125" s="544">
        <v>0</v>
      </c>
      <c r="O125" s="542"/>
      <c r="P125" s="545">
        <f>BOKFØRT!C125</f>
        <v>0</v>
      </c>
      <c r="Q125" s="583">
        <f t="shared" si="16"/>
        <v>0</v>
      </c>
      <c r="R125" s="199"/>
      <c r="S125" s="199"/>
    </row>
    <row r="126" spans="1:19" s="1" customFormat="1" ht="12.75">
      <c r="A126" s="395">
        <v>214010</v>
      </c>
      <c r="B126" s="437" t="s">
        <v>550</v>
      </c>
      <c r="C126" s="397"/>
      <c r="D126" s="436"/>
      <c r="E126" s="436"/>
      <c r="F126" s="418"/>
      <c r="G126" s="544">
        <f t="shared" si="12"/>
        <v>0</v>
      </c>
      <c r="H126" s="538">
        <f t="shared" si="13"/>
        <v>0</v>
      </c>
      <c r="I126" s="539">
        <f t="shared" si="14"/>
        <v>0</v>
      </c>
      <c r="J126" s="540"/>
      <c r="K126" s="403"/>
      <c r="L126" s="541">
        <f t="shared" si="15"/>
      </c>
      <c r="M126" s="542"/>
      <c r="N126" s="544">
        <v>0</v>
      </c>
      <c r="O126" s="542"/>
      <c r="P126" s="545">
        <f>BOKFØRT!C126</f>
        <v>0</v>
      </c>
      <c r="Q126" s="583">
        <f t="shared" si="16"/>
        <v>0</v>
      </c>
      <c r="R126" s="199"/>
      <c r="S126" s="199"/>
    </row>
    <row r="127" spans="1:19" s="1" customFormat="1" ht="12.75">
      <c r="A127" s="395">
        <v>214014</v>
      </c>
      <c r="B127" s="408" t="s">
        <v>588</v>
      </c>
      <c r="C127" s="397"/>
      <c r="D127" s="436"/>
      <c r="E127" s="436"/>
      <c r="F127" s="418"/>
      <c r="G127" s="544">
        <f t="shared" si="12"/>
        <v>0</v>
      </c>
      <c r="H127" s="538">
        <f t="shared" si="13"/>
        <v>0</v>
      </c>
      <c r="I127" s="539">
        <f t="shared" si="14"/>
        <v>0</v>
      </c>
      <c r="J127" s="540"/>
      <c r="K127" s="403"/>
      <c r="L127" s="541">
        <f t="shared" si="15"/>
      </c>
      <c r="M127" s="542"/>
      <c r="N127" s="544">
        <v>0</v>
      </c>
      <c r="O127" s="542"/>
      <c r="P127" s="545">
        <f>BOKFØRT!C127</f>
        <v>0</v>
      </c>
      <c r="Q127" s="583">
        <f t="shared" si="16"/>
        <v>0</v>
      </c>
      <c r="R127" s="199"/>
      <c r="S127" s="199"/>
    </row>
    <row r="128" spans="1:19" s="1" customFormat="1" ht="12.75">
      <c r="A128" s="395">
        <v>214015</v>
      </c>
      <c r="B128" s="437" t="s">
        <v>589</v>
      </c>
      <c r="C128" s="397"/>
      <c r="D128" s="438"/>
      <c r="E128" s="436"/>
      <c r="F128" s="439">
        <f>IF(D128=0,0,+G127)</f>
        <v>0</v>
      </c>
      <c r="G128" s="544">
        <f t="shared" si="12"/>
        <v>0</v>
      </c>
      <c r="H128" s="538">
        <f t="shared" si="13"/>
        <v>0</v>
      </c>
      <c r="I128" s="539">
        <f t="shared" si="14"/>
        <v>0</v>
      </c>
      <c r="J128" s="540"/>
      <c r="K128" s="403"/>
      <c r="L128" s="541">
        <f t="shared" si="15"/>
      </c>
      <c r="M128" s="542"/>
      <c r="N128" s="544">
        <v>0</v>
      </c>
      <c r="O128" s="542"/>
      <c r="P128" s="545">
        <f>BOKFØRT!C128</f>
        <v>0</v>
      </c>
      <c r="Q128" s="583">
        <f t="shared" si="16"/>
        <v>0</v>
      </c>
      <c r="R128" s="199"/>
      <c r="S128" s="199"/>
    </row>
    <row r="129" spans="1:19" s="1" customFormat="1" ht="12.75">
      <c r="A129" s="395">
        <v>214090</v>
      </c>
      <c r="B129" s="408" t="s">
        <v>552</v>
      </c>
      <c r="C129" s="397"/>
      <c r="D129" s="436"/>
      <c r="E129" s="436"/>
      <c r="F129" s="418"/>
      <c r="G129" s="544">
        <f t="shared" si="12"/>
        <v>0</v>
      </c>
      <c r="H129" s="538">
        <f t="shared" si="13"/>
        <v>0</v>
      </c>
      <c r="I129" s="539">
        <f t="shared" si="14"/>
        <v>0</v>
      </c>
      <c r="J129" s="540"/>
      <c r="K129" s="403"/>
      <c r="L129" s="541">
        <f t="shared" si="15"/>
      </c>
      <c r="M129" s="542"/>
      <c r="N129" s="544">
        <v>0</v>
      </c>
      <c r="O129" s="542"/>
      <c r="P129" s="545">
        <f>BOKFØRT!C129</f>
        <v>0</v>
      </c>
      <c r="Q129" s="583">
        <f t="shared" si="16"/>
        <v>0</v>
      </c>
      <c r="R129" s="199"/>
      <c r="S129" s="199"/>
    </row>
    <row r="130" spans="1:19" s="1" customFormat="1" ht="12.75">
      <c r="A130" s="395">
        <v>214091</v>
      </c>
      <c r="B130" s="408" t="s">
        <v>553</v>
      </c>
      <c r="C130" s="397"/>
      <c r="D130" s="438"/>
      <c r="E130" s="436"/>
      <c r="F130" s="439">
        <f>IF(D130=0,0,+G129)</f>
        <v>0</v>
      </c>
      <c r="G130" s="544">
        <f t="shared" si="12"/>
        <v>0</v>
      </c>
      <c r="H130" s="538">
        <f t="shared" si="13"/>
        <v>0</v>
      </c>
      <c r="I130" s="539">
        <f t="shared" si="14"/>
        <v>0</v>
      </c>
      <c r="J130" s="540"/>
      <c r="K130" s="403"/>
      <c r="L130" s="541">
        <f t="shared" si="15"/>
      </c>
      <c r="M130" s="542"/>
      <c r="N130" s="544">
        <v>0</v>
      </c>
      <c r="O130" s="542"/>
      <c r="P130" s="545">
        <f>BOKFØRT!C130</f>
        <v>0</v>
      </c>
      <c r="Q130" s="583">
        <f t="shared" si="16"/>
        <v>0</v>
      </c>
      <c r="R130" s="199"/>
      <c r="S130" s="199"/>
    </row>
    <row r="131" spans="1:19" s="1" customFormat="1" ht="12.75">
      <c r="A131" s="395">
        <v>214092</v>
      </c>
      <c r="B131" s="408" t="s">
        <v>590</v>
      </c>
      <c r="C131" s="397"/>
      <c r="D131" s="436"/>
      <c r="E131" s="436"/>
      <c r="F131" s="418"/>
      <c r="G131" s="544">
        <f t="shared" si="12"/>
        <v>0</v>
      </c>
      <c r="H131" s="538">
        <f t="shared" si="13"/>
        <v>0</v>
      </c>
      <c r="I131" s="539">
        <f t="shared" si="14"/>
        <v>0</v>
      </c>
      <c r="J131" s="540"/>
      <c r="K131" s="403"/>
      <c r="L131" s="541">
        <f t="shared" si="15"/>
      </c>
      <c r="M131" s="542"/>
      <c r="N131" s="544">
        <v>0</v>
      </c>
      <c r="O131" s="542"/>
      <c r="P131" s="545">
        <f>BOKFØRT!C131</f>
        <v>0</v>
      </c>
      <c r="Q131" s="583">
        <f t="shared" si="16"/>
        <v>0</v>
      </c>
      <c r="R131" s="199"/>
      <c r="S131" s="199"/>
    </row>
    <row r="132" spans="1:19" s="1" customFormat="1" ht="12.75">
      <c r="A132" s="395">
        <v>214095</v>
      </c>
      <c r="B132" s="408" t="s">
        <v>554</v>
      </c>
      <c r="C132" s="397"/>
      <c r="D132" s="440"/>
      <c r="E132" s="440"/>
      <c r="F132" s="449"/>
      <c r="G132" s="562">
        <f>SUM(I103:I131)</f>
        <v>0</v>
      </c>
      <c r="H132" s="414"/>
      <c r="I132" s="546" t="s">
        <v>555</v>
      </c>
      <c r="J132" s="546"/>
      <c r="K132" s="573"/>
      <c r="L132" s="541"/>
      <c r="M132" s="542"/>
      <c r="N132" s="562">
        <v>0</v>
      </c>
      <c r="O132" s="542"/>
      <c r="P132" s="545">
        <f>BOKFØRT!C132</f>
        <v>0</v>
      </c>
      <c r="Q132" s="583">
        <f t="shared" si="16"/>
        <v>0</v>
      </c>
      <c r="R132" s="199"/>
      <c r="S132" s="199"/>
    </row>
    <row r="133" spans="1:19" s="1" customFormat="1" ht="12.75">
      <c r="A133" s="395">
        <v>218622</v>
      </c>
      <c r="B133" s="408" t="s">
        <v>593</v>
      </c>
      <c r="C133" s="397"/>
      <c r="D133" s="436"/>
      <c r="E133" s="436"/>
      <c r="F133" s="418"/>
      <c r="G133" s="544">
        <f aca="true" t="shared" si="17" ref="G133:G150">IF(X=0,(IF(Me=0,Sa,Me*Sa)),(IF(Me=0,Sa*X,Me*X*Sa)))</f>
        <v>0</v>
      </c>
      <c r="H133" s="414"/>
      <c r="I133" s="555"/>
      <c r="J133" s="555"/>
      <c r="K133" s="403"/>
      <c r="L133" s="541">
        <f t="shared" si="15"/>
      </c>
      <c r="M133" s="542"/>
      <c r="N133" s="544">
        <v>0</v>
      </c>
      <c r="O133" s="542"/>
      <c r="P133" s="545">
        <f>BOKFØRT!C133</f>
        <v>0</v>
      </c>
      <c r="Q133" s="583">
        <f t="shared" si="16"/>
        <v>0</v>
      </c>
      <c r="R133" s="199"/>
      <c r="S133" s="199"/>
    </row>
    <row r="134" spans="1:19" s="1" customFormat="1" ht="12.75">
      <c r="A134" s="395">
        <v>219010</v>
      </c>
      <c r="B134" s="408" t="s">
        <v>556</v>
      </c>
      <c r="C134" s="397"/>
      <c r="D134" s="436"/>
      <c r="E134" s="436"/>
      <c r="F134" s="418"/>
      <c r="G134" s="544">
        <f t="shared" si="17"/>
        <v>0</v>
      </c>
      <c r="H134" s="414"/>
      <c r="I134" s="555"/>
      <c r="J134" s="555"/>
      <c r="K134" s="403"/>
      <c r="L134" s="541">
        <f t="shared" si="15"/>
      </c>
      <c r="M134" s="542"/>
      <c r="N134" s="544">
        <v>0</v>
      </c>
      <c r="O134" s="542"/>
      <c r="P134" s="545">
        <f>BOKFØRT!C134</f>
        <v>0</v>
      </c>
      <c r="Q134" s="583">
        <f t="shared" si="16"/>
        <v>0</v>
      </c>
      <c r="R134" s="199"/>
      <c r="S134" s="199"/>
    </row>
    <row r="135" spans="1:19" s="1" customFormat="1" ht="12.75">
      <c r="A135" s="395">
        <v>219013</v>
      </c>
      <c r="B135" s="437" t="s">
        <v>557</v>
      </c>
      <c r="C135" s="397"/>
      <c r="D135" s="436"/>
      <c r="E135" s="436"/>
      <c r="F135" s="418"/>
      <c r="G135" s="544">
        <f t="shared" si="17"/>
        <v>0</v>
      </c>
      <c r="H135" s="414"/>
      <c r="I135" s="555"/>
      <c r="J135" s="555"/>
      <c r="K135" s="403"/>
      <c r="L135" s="541">
        <f t="shared" si="15"/>
      </c>
      <c r="M135" s="542"/>
      <c r="N135" s="544">
        <v>0</v>
      </c>
      <c r="O135" s="542"/>
      <c r="P135" s="545">
        <f>BOKFØRT!C135</f>
        <v>0</v>
      </c>
      <c r="Q135" s="583">
        <f t="shared" si="16"/>
        <v>0</v>
      </c>
      <c r="R135" s="199"/>
      <c r="S135" s="199"/>
    </row>
    <row r="136" spans="1:19" s="1" customFormat="1" ht="12.75">
      <c r="A136" s="395">
        <v>219014</v>
      </c>
      <c r="B136" s="437" t="s">
        <v>609</v>
      </c>
      <c r="C136" s="397"/>
      <c r="D136" s="436"/>
      <c r="E136" s="436"/>
      <c r="F136" s="418"/>
      <c r="G136" s="544">
        <f t="shared" si="17"/>
        <v>0</v>
      </c>
      <c r="H136" s="414"/>
      <c r="I136" s="555"/>
      <c r="J136" s="555"/>
      <c r="K136" s="403"/>
      <c r="L136" s="541">
        <f t="shared" si="15"/>
      </c>
      <c r="M136" s="542"/>
      <c r="N136" s="544">
        <v>0</v>
      </c>
      <c r="O136" s="542"/>
      <c r="P136" s="545">
        <f>BOKFØRT!C136</f>
        <v>0</v>
      </c>
      <c r="Q136" s="583">
        <f t="shared" si="16"/>
        <v>0</v>
      </c>
      <c r="R136" s="199"/>
      <c r="S136" s="199"/>
    </row>
    <row r="137" spans="1:19" s="1" customFormat="1" ht="12.75">
      <c r="A137" s="395">
        <v>219022</v>
      </c>
      <c r="B137" s="408" t="s">
        <v>558</v>
      </c>
      <c r="C137" s="397"/>
      <c r="D137" s="436"/>
      <c r="E137" s="436"/>
      <c r="F137" s="418"/>
      <c r="G137" s="544">
        <f t="shared" si="17"/>
        <v>0</v>
      </c>
      <c r="H137" s="414"/>
      <c r="I137" s="555"/>
      <c r="J137" s="555"/>
      <c r="K137" s="403"/>
      <c r="L137" s="541">
        <f t="shared" si="15"/>
      </c>
      <c r="M137" s="542"/>
      <c r="N137" s="544">
        <v>0</v>
      </c>
      <c r="O137" s="542"/>
      <c r="P137" s="545">
        <f>BOKFØRT!C137</f>
        <v>0</v>
      </c>
      <c r="Q137" s="583">
        <f t="shared" si="16"/>
        <v>0</v>
      </c>
      <c r="R137" s="199"/>
      <c r="S137" s="199"/>
    </row>
    <row r="138" spans="1:19" s="1" customFormat="1" ht="12.75">
      <c r="A138" s="395">
        <v>219023</v>
      </c>
      <c r="B138" s="408" t="s">
        <v>559</v>
      </c>
      <c r="C138" s="397"/>
      <c r="D138" s="436"/>
      <c r="E138" s="436"/>
      <c r="F138" s="418"/>
      <c r="G138" s="544">
        <f t="shared" si="17"/>
        <v>0</v>
      </c>
      <c r="H138" s="414"/>
      <c r="I138" s="555"/>
      <c r="J138" s="555"/>
      <c r="K138" s="403"/>
      <c r="L138" s="541">
        <f t="shared" si="15"/>
      </c>
      <c r="M138" s="542"/>
      <c r="N138" s="544">
        <v>0</v>
      </c>
      <c r="O138" s="542"/>
      <c r="P138" s="545">
        <f>BOKFØRT!C138</f>
        <v>0</v>
      </c>
      <c r="Q138" s="583">
        <f t="shared" si="16"/>
        <v>0</v>
      </c>
      <c r="R138" s="199"/>
      <c r="S138" s="199"/>
    </row>
    <row r="139" spans="1:19" s="1" customFormat="1" ht="12.75">
      <c r="A139" s="395">
        <v>219025</v>
      </c>
      <c r="B139" s="408" t="s">
        <v>560</v>
      </c>
      <c r="C139" s="397"/>
      <c r="D139" s="436"/>
      <c r="E139" s="436"/>
      <c r="F139" s="418"/>
      <c r="G139" s="544">
        <f t="shared" si="17"/>
        <v>0</v>
      </c>
      <c r="H139" s="414"/>
      <c r="I139" s="555"/>
      <c r="J139" s="555"/>
      <c r="K139" s="403"/>
      <c r="L139" s="541">
        <f t="shared" si="15"/>
      </c>
      <c r="M139" s="542"/>
      <c r="N139" s="544">
        <v>0</v>
      </c>
      <c r="O139" s="542"/>
      <c r="P139" s="545">
        <f>BOKFØRT!C139</f>
        <v>0</v>
      </c>
      <c r="Q139" s="583">
        <f t="shared" si="16"/>
        <v>0</v>
      </c>
      <c r="R139" s="199"/>
      <c r="S139" s="199"/>
    </row>
    <row r="140" spans="1:19" s="1" customFormat="1" ht="12.75">
      <c r="A140" s="395">
        <v>219029</v>
      </c>
      <c r="B140" s="408" t="s">
        <v>561</v>
      </c>
      <c r="C140" s="397"/>
      <c r="D140" s="436"/>
      <c r="E140" s="436"/>
      <c r="F140" s="418"/>
      <c r="G140" s="544">
        <f t="shared" si="17"/>
        <v>0</v>
      </c>
      <c r="H140" s="414"/>
      <c r="I140" s="555"/>
      <c r="J140" s="555"/>
      <c r="K140" s="403"/>
      <c r="L140" s="541">
        <f t="shared" si="15"/>
      </c>
      <c r="M140" s="542"/>
      <c r="N140" s="544">
        <v>0</v>
      </c>
      <c r="O140" s="542"/>
      <c r="P140" s="545">
        <f>BOKFØRT!C140</f>
        <v>0</v>
      </c>
      <c r="Q140" s="583">
        <f t="shared" si="16"/>
        <v>0</v>
      </c>
      <c r="R140" s="199"/>
      <c r="S140" s="199"/>
    </row>
    <row r="141" spans="1:19" s="1" customFormat="1" ht="12.75">
      <c r="A141" s="395">
        <v>219030</v>
      </c>
      <c r="B141" s="408" t="s">
        <v>594</v>
      </c>
      <c r="C141" s="397"/>
      <c r="D141" s="436"/>
      <c r="E141" s="436"/>
      <c r="F141" s="418"/>
      <c r="G141" s="544">
        <f t="shared" si="17"/>
        <v>0</v>
      </c>
      <c r="H141" s="414"/>
      <c r="I141" s="555"/>
      <c r="J141" s="555"/>
      <c r="K141" s="403"/>
      <c r="L141" s="541">
        <f t="shared" si="15"/>
      </c>
      <c r="M141" s="542"/>
      <c r="N141" s="544">
        <v>0</v>
      </c>
      <c r="O141" s="542"/>
      <c r="P141" s="545">
        <f>BOKFØRT!C141</f>
        <v>0</v>
      </c>
      <c r="Q141" s="583">
        <f t="shared" si="16"/>
        <v>0</v>
      </c>
      <c r="R141" s="199"/>
      <c r="S141" s="199"/>
    </row>
    <row r="142" spans="1:19" s="1" customFormat="1" ht="12.75">
      <c r="A142" s="395">
        <v>219040</v>
      </c>
      <c r="B142" s="408" t="s">
        <v>769</v>
      </c>
      <c r="C142" s="397"/>
      <c r="D142" s="436"/>
      <c r="E142" s="436"/>
      <c r="F142" s="418"/>
      <c r="G142" s="544">
        <f t="shared" si="17"/>
        <v>0</v>
      </c>
      <c r="H142" s="414"/>
      <c r="I142" s="555"/>
      <c r="J142" s="555"/>
      <c r="K142" s="403"/>
      <c r="L142" s="541">
        <f t="shared" si="15"/>
      </c>
      <c r="M142" s="542"/>
      <c r="N142" s="544">
        <v>0</v>
      </c>
      <c r="O142" s="542"/>
      <c r="P142" s="545">
        <f>BOKFØRT!C142</f>
        <v>0</v>
      </c>
      <c r="Q142" s="583">
        <f t="shared" si="16"/>
        <v>0</v>
      </c>
      <c r="R142" s="199"/>
      <c r="S142" s="199"/>
    </row>
    <row r="143" spans="1:19" s="1" customFormat="1" ht="12.75">
      <c r="A143" s="395">
        <v>219042</v>
      </c>
      <c r="B143" s="408" t="s">
        <v>596</v>
      </c>
      <c r="C143" s="397"/>
      <c r="D143" s="436"/>
      <c r="E143" s="436"/>
      <c r="F143" s="418"/>
      <c r="G143" s="544">
        <f t="shared" si="17"/>
        <v>0</v>
      </c>
      <c r="H143" s="414"/>
      <c r="I143" s="555"/>
      <c r="J143" s="555"/>
      <c r="K143" s="403"/>
      <c r="L143" s="541">
        <f t="shared" si="15"/>
      </c>
      <c r="M143" s="542"/>
      <c r="N143" s="544">
        <v>0</v>
      </c>
      <c r="O143" s="542"/>
      <c r="P143" s="545">
        <f>BOKFØRT!C143</f>
        <v>0</v>
      </c>
      <c r="Q143" s="583">
        <f t="shared" si="16"/>
        <v>0</v>
      </c>
      <c r="R143" s="199"/>
      <c r="S143" s="199"/>
    </row>
    <row r="144" spans="1:19" s="1" customFormat="1" ht="12.75">
      <c r="A144" s="395">
        <v>219044</v>
      </c>
      <c r="B144" s="408" t="s">
        <v>597</v>
      </c>
      <c r="C144" s="397"/>
      <c r="D144" s="436"/>
      <c r="E144" s="436"/>
      <c r="F144" s="418"/>
      <c r="G144" s="544">
        <f t="shared" si="17"/>
        <v>0</v>
      </c>
      <c r="H144" s="414"/>
      <c r="I144" s="555"/>
      <c r="J144" s="555"/>
      <c r="K144" s="403"/>
      <c r="L144" s="541">
        <f t="shared" si="15"/>
      </c>
      <c r="M144" s="542"/>
      <c r="N144" s="544">
        <v>0</v>
      </c>
      <c r="O144" s="542"/>
      <c r="P144" s="545">
        <f>BOKFØRT!C144</f>
        <v>0</v>
      </c>
      <c r="Q144" s="583">
        <f t="shared" si="16"/>
        <v>0</v>
      </c>
      <c r="R144" s="199"/>
      <c r="S144" s="199"/>
    </row>
    <row r="145" spans="1:19" s="1" customFormat="1" ht="12.75">
      <c r="A145" s="395">
        <v>219060</v>
      </c>
      <c r="B145" s="408" t="s">
        <v>562</v>
      </c>
      <c r="C145" s="397"/>
      <c r="D145" s="436"/>
      <c r="E145" s="436"/>
      <c r="F145" s="418"/>
      <c r="G145" s="544">
        <f t="shared" si="17"/>
        <v>0</v>
      </c>
      <c r="H145" s="414"/>
      <c r="I145" s="555"/>
      <c r="J145" s="555"/>
      <c r="K145" s="403"/>
      <c r="L145" s="541">
        <f t="shared" si="15"/>
      </c>
      <c r="M145" s="542"/>
      <c r="N145" s="544">
        <v>0</v>
      </c>
      <c r="O145" s="542"/>
      <c r="P145" s="545">
        <f>BOKFØRT!C145</f>
        <v>0</v>
      </c>
      <c r="Q145" s="583">
        <f t="shared" si="16"/>
        <v>0</v>
      </c>
      <c r="R145" s="199"/>
      <c r="S145" s="199"/>
    </row>
    <row r="146" spans="1:19" s="1" customFormat="1" ht="12.75">
      <c r="A146" s="395">
        <v>219061</v>
      </c>
      <c r="B146" s="408" t="s">
        <v>563</v>
      </c>
      <c r="C146" s="397"/>
      <c r="D146" s="436">
        <v>0</v>
      </c>
      <c r="E146" s="436"/>
      <c r="F146" s="418"/>
      <c r="G146" s="544">
        <f t="shared" si="17"/>
        <v>0</v>
      </c>
      <c r="H146" s="414"/>
      <c r="I146" s="555"/>
      <c r="J146" s="555"/>
      <c r="K146" s="403"/>
      <c r="L146" s="541">
        <f t="shared" si="15"/>
      </c>
      <c r="M146" s="542"/>
      <c r="N146" s="544">
        <v>0</v>
      </c>
      <c r="O146" s="542"/>
      <c r="P146" s="545">
        <f>BOKFØRT!C146</f>
        <v>0</v>
      </c>
      <c r="Q146" s="583">
        <f t="shared" si="16"/>
        <v>0</v>
      </c>
      <c r="R146" s="199"/>
      <c r="S146" s="199"/>
    </row>
    <row r="147" spans="1:19" s="1" customFormat="1" ht="12.75">
      <c r="A147" s="395">
        <v>219063</v>
      </c>
      <c r="B147" s="408" t="s">
        <v>610</v>
      </c>
      <c r="C147" s="397"/>
      <c r="D147" s="436"/>
      <c r="E147" s="436"/>
      <c r="F147" s="418"/>
      <c r="G147" s="544">
        <f t="shared" si="17"/>
        <v>0</v>
      </c>
      <c r="H147" s="414"/>
      <c r="I147" s="540"/>
      <c r="J147" s="540"/>
      <c r="K147" s="403"/>
      <c r="L147" s="541">
        <f t="shared" si="15"/>
      </c>
      <c r="M147" s="542"/>
      <c r="N147" s="544">
        <v>0</v>
      </c>
      <c r="O147" s="542"/>
      <c r="P147" s="545">
        <f>BOKFØRT!C147</f>
        <v>0</v>
      </c>
      <c r="Q147" s="583">
        <f t="shared" si="16"/>
        <v>0</v>
      </c>
      <c r="R147" s="199"/>
      <c r="S147" s="199"/>
    </row>
    <row r="148" spans="1:19" s="1" customFormat="1" ht="12.75">
      <c r="A148" s="395">
        <v>219069</v>
      </c>
      <c r="B148" s="408" t="s">
        <v>564</v>
      </c>
      <c r="C148" s="397" t="s">
        <v>416</v>
      </c>
      <c r="D148" s="436"/>
      <c r="E148" s="436"/>
      <c r="F148" s="418"/>
      <c r="G148" s="544">
        <f t="shared" si="17"/>
        <v>0</v>
      </c>
      <c r="H148" s="414"/>
      <c r="I148" s="540"/>
      <c r="J148" s="540"/>
      <c r="K148" s="403"/>
      <c r="L148" s="541">
        <f t="shared" si="15"/>
      </c>
      <c r="M148" s="542"/>
      <c r="N148" s="544">
        <v>0</v>
      </c>
      <c r="O148" s="542"/>
      <c r="P148" s="545">
        <f>BOKFØRT!C148</f>
        <v>0</v>
      </c>
      <c r="Q148" s="583">
        <f t="shared" si="16"/>
        <v>0</v>
      </c>
      <c r="R148" s="199"/>
      <c r="S148" s="199"/>
    </row>
    <row r="149" spans="1:19" s="1" customFormat="1" ht="12.75">
      <c r="A149" s="395">
        <v>219077</v>
      </c>
      <c r="B149" s="408" t="s">
        <v>598</v>
      </c>
      <c r="C149" s="397"/>
      <c r="D149" s="436"/>
      <c r="E149" s="436"/>
      <c r="F149" s="418"/>
      <c r="G149" s="544">
        <f t="shared" si="17"/>
        <v>0</v>
      </c>
      <c r="H149" s="414"/>
      <c r="I149" s="540"/>
      <c r="J149" s="540"/>
      <c r="K149" s="403"/>
      <c r="L149" s="541">
        <f t="shared" si="15"/>
      </c>
      <c r="M149" s="542"/>
      <c r="N149" s="544">
        <v>0</v>
      </c>
      <c r="O149" s="542"/>
      <c r="P149" s="545">
        <f>BOKFØRT!C149</f>
        <v>0</v>
      </c>
      <c r="Q149" s="583">
        <f t="shared" si="16"/>
        <v>0</v>
      </c>
      <c r="R149" s="199"/>
      <c r="S149" s="199"/>
    </row>
    <row r="150" spans="1:19" s="1" customFormat="1" ht="12.75">
      <c r="A150" s="395">
        <v>219078</v>
      </c>
      <c r="B150" s="408" t="s">
        <v>568</v>
      </c>
      <c r="C150" s="397"/>
      <c r="D150" s="436"/>
      <c r="E150" s="436"/>
      <c r="F150" s="418"/>
      <c r="G150" s="544">
        <f t="shared" si="17"/>
        <v>0</v>
      </c>
      <c r="H150" s="414"/>
      <c r="I150" s="540"/>
      <c r="J150" s="540"/>
      <c r="K150" s="403"/>
      <c r="L150" s="541">
        <f t="shared" si="15"/>
      </c>
      <c r="M150" s="542"/>
      <c r="N150" s="544">
        <v>0</v>
      </c>
      <c r="O150" s="542"/>
      <c r="P150" s="550">
        <f>BOKFØRT!C150</f>
        <v>0</v>
      </c>
      <c r="Q150" s="583">
        <f t="shared" si="16"/>
        <v>0</v>
      </c>
      <c r="R150" s="199"/>
      <c r="S150" s="199"/>
    </row>
    <row r="151" spans="1:19" s="1" customFormat="1" ht="13.5" thickBot="1">
      <c r="A151" s="445" t="s">
        <v>401</v>
      </c>
      <c r="B151" s="426"/>
      <c r="C151" s="451"/>
      <c r="D151" s="433"/>
      <c r="E151" s="434"/>
      <c r="F151" s="448" t="s">
        <v>570</v>
      </c>
      <c r="G151" s="558">
        <f>SUM(G103:G150)</f>
        <v>0</v>
      </c>
      <c r="H151" s="414"/>
      <c r="I151" s="555"/>
      <c r="J151" s="555"/>
      <c r="K151" s="394"/>
      <c r="L151" s="558">
        <f>SUM(L103:L150)</f>
        <v>0</v>
      </c>
      <c r="M151" s="542"/>
      <c r="N151" s="558">
        <v>0</v>
      </c>
      <c r="O151" s="542"/>
      <c r="P151" s="559">
        <f>SUM(P103:P150)</f>
        <v>0</v>
      </c>
      <c r="Q151" s="583">
        <f t="shared" si="16"/>
        <v>0</v>
      </c>
      <c r="R151" s="199"/>
      <c r="S151" s="199"/>
    </row>
    <row r="152" spans="1:19" s="1" customFormat="1" ht="0.75" customHeight="1" thickTop="1">
      <c r="A152" s="431"/>
      <c r="B152" s="426"/>
      <c r="C152" s="427"/>
      <c r="D152" s="433"/>
      <c r="E152" s="434"/>
      <c r="F152" s="448"/>
      <c r="G152" s="563"/>
      <c r="H152" s="414"/>
      <c r="I152" s="555"/>
      <c r="J152" s="555"/>
      <c r="K152" s="394"/>
      <c r="L152" s="555"/>
      <c r="M152" s="542"/>
      <c r="N152" s="563"/>
      <c r="O152" s="542"/>
      <c r="P152" s="564"/>
      <c r="Q152" s="583"/>
      <c r="R152" s="199"/>
      <c r="S152" s="199"/>
    </row>
    <row r="153" spans="1:19" s="1" customFormat="1" ht="24.75" customHeight="1" thickTop="1">
      <c r="A153" s="391" t="s">
        <v>519</v>
      </c>
      <c r="B153" s="435"/>
      <c r="C153" s="427"/>
      <c r="D153" s="511" t="s">
        <v>422</v>
      </c>
      <c r="E153" s="512" t="s">
        <v>423</v>
      </c>
      <c r="F153" s="511" t="s">
        <v>424</v>
      </c>
      <c r="G153" s="533" t="s">
        <v>425</v>
      </c>
      <c r="H153" s="511" t="s">
        <v>426</v>
      </c>
      <c r="I153" s="534" t="s">
        <v>427</v>
      </c>
      <c r="J153" s="534"/>
      <c r="K153" s="394"/>
      <c r="L153" s="533" t="s">
        <v>688</v>
      </c>
      <c r="M153" s="536"/>
      <c r="N153" s="533" t="s">
        <v>425</v>
      </c>
      <c r="O153" s="536"/>
      <c r="P153" s="533" t="s">
        <v>677</v>
      </c>
      <c r="Q153" s="583"/>
      <c r="R153" s="199"/>
      <c r="S153" s="199"/>
    </row>
    <row r="154" spans="1:19" s="1" customFormat="1" ht="12.75">
      <c r="A154" s="395">
        <v>311116</v>
      </c>
      <c r="B154" s="408" t="s">
        <v>200</v>
      </c>
      <c r="C154" s="397"/>
      <c r="D154" s="436"/>
      <c r="E154" s="436"/>
      <c r="F154" s="418"/>
      <c r="G154" s="537">
        <f aca="true" t="shared" si="18" ref="G154:G194">IF(X=0,(IF(Me=0,Sa,Me*Sa)),(IF(Me=0,Sa*X,Me*X*Sa)))</f>
        <v>0</v>
      </c>
      <c r="H154" s="538">
        <f aca="true" t="shared" si="19" ref="H154:H194">IF(Sum,Sos,0)</f>
        <v>0</v>
      </c>
      <c r="I154" s="539">
        <f aca="true" t="shared" si="20" ref="I154:I194">IF(Prosent&lt;&gt;0,(Sum*Prosent)/100,0)</f>
        <v>0</v>
      </c>
      <c r="J154" s="540"/>
      <c r="K154" s="403"/>
      <c r="L154" s="541">
        <f aca="true" t="shared" si="21" ref="L154:L218">IF(FMVAE&lt;&gt;"",(Sum*mva)-Sum,"")</f>
      </c>
      <c r="M154" s="542"/>
      <c r="N154" s="537">
        <v>0</v>
      </c>
      <c r="O154" s="542"/>
      <c r="P154" s="543">
        <f>BOKFØRT!C154</f>
        <v>0</v>
      </c>
      <c r="Q154" s="583">
        <f aca="true" t="shared" si="22" ref="Q154:Q218">G154+N154+P154</f>
        <v>0</v>
      </c>
      <c r="R154" s="199"/>
      <c r="S154" s="199"/>
    </row>
    <row r="155" spans="1:19" s="1" customFormat="1" ht="12.75">
      <c r="A155" s="395">
        <v>311120</v>
      </c>
      <c r="B155" s="408" t="s">
        <v>571</v>
      </c>
      <c r="C155" s="397"/>
      <c r="D155" s="436"/>
      <c r="E155" s="436"/>
      <c r="F155" s="418"/>
      <c r="G155" s="544">
        <f t="shared" si="18"/>
        <v>0</v>
      </c>
      <c r="H155" s="538">
        <f t="shared" si="19"/>
        <v>0</v>
      </c>
      <c r="I155" s="539">
        <f t="shared" si="20"/>
        <v>0</v>
      </c>
      <c r="J155" s="540"/>
      <c r="K155" s="403"/>
      <c r="L155" s="541">
        <f t="shared" si="21"/>
      </c>
      <c r="M155" s="542"/>
      <c r="N155" s="544">
        <v>0</v>
      </c>
      <c r="O155" s="542"/>
      <c r="P155" s="545">
        <f>BOKFØRT!C155</f>
        <v>0</v>
      </c>
      <c r="Q155" s="583">
        <f t="shared" si="22"/>
        <v>0</v>
      </c>
      <c r="R155" s="199"/>
      <c r="S155" s="199"/>
    </row>
    <row r="156" spans="1:19" s="1" customFormat="1" ht="12.75">
      <c r="A156" s="395">
        <v>311122</v>
      </c>
      <c r="B156" s="437" t="s">
        <v>611</v>
      </c>
      <c r="C156" s="397"/>
      <c r="D156" s="436"/>
      <c r="E156" s="436"/>
      <c r="F156" s="418"/>
      <c r="G156" s="544">
        <f t="shared" si="18"/>
        <v>0</v>
      </c>
      <c r="H156" s="538">
        <f t="shared" si="19"/>
        <v>0</v>
      </c>
      <c r="I156" s="539">
        <f t="shared" si="20"/>
        <v>0</v>
      </c>
      <c r="J156" s="540"/>
      <c r="K156" s="403"/>
      <c r="L156" s="541">
        <f t="shared" si="21"/>
      </c>
      <c r="M156" s="542"/>
      <c r="N156" s="544">
        <v>0</v>
      </c>
      <c r="O156" s="542"/>
      <c r="P156" s="545">
        <f>BOKFØRT!C156</f>
        <v>0</v>
      </c>
      <c r="Q156" s="583">
        <f t="shared" si="22"/>
        <v>0</v>
      </c>
      <c r="R156" s="199"/>
      <c r="S156" s="199"/>
    </row>
    <row r="157" spans="1:19" s="1" customFormat="1" ht="12.75">
      <c r="A157" s="395">
        <v>311123</v>
      </c>
      <c r="B157" s="408" t="s">
        <v>612</v>
      </c>
      <c r="C157" s="397"/>
      <c r="D157" s="438"/>
      <c r="E157" s="436"/>
      <c r="F157" s="439">
        <f>IF(D157=0,0,+G156)</f>
        <v>0</v>
      </c>
      <c r="G157" s="544">
        <f t="shared" si="18"/>
        <v>0</v>
      </c>
      <c r="H157" s="538">
        <f t="shared" si="19"/>
        <v>0</v>
      </c>
      <c r="I157" s="539">
        <f t="shared" si="20"/>
        <v>0</v>
      </c>
      <c r="J157" s="540"/>
      <c r="K157" s="403"/>
      <c r="L157" s="541">
        <f t="shared" si="21"/>
      </c>
      <c r="M157" s="542"/>
      <c r="N157" s="544">
        <v>0</v>
      </c>
      <c r="O157" s="542"/>
      <c r="P157" s="545">
        <f>BOKFØRT!C157</f>
        <v>0</v>
      </c>
      <c r="Q157" s="583">
        <f t="shared" si="22"/>
        <v>0</v>
      </c>
      <c r="R157" s="199"/>
      <c r="S157" s="199"/>
    </row>
    <row r="158" spans="1:19" s="1" customFormat="1" ht="12.75">
      <c r="A158" s="395">
        <v>311124</v>
      </c>
      <c r="B158" s="437" t="s">
        <v>613</v>
      </c>
      <c r="C158" s="397"/>
      <c r="D158" s="436"/>
      <c r="E158" s="436"/>
      <c r="F158" s="418"/>
      <c r="G158" s="544">
        <f t="shared" si="18"/>
        <v>0</v>
      </c>
      <c r="H158" s="538">
        <f t="shared" si="19"/>
        <v>0</v>
      </c>
      <c r="I158" s="539">
        <f t="shared" si="20"/>
        <v>0</v>
      </c>
      <c r="J158" s="540"/>
      <c r="K158" s="403"/>
      <c r="L158" s="541">
        <f t="shared" si="21"/>
      </c>
      <c r="M158" s="542"/>
      <c r="N158" s="544">
        <v>0</v>
      </c>
      <c r="O158" s="542"/>
      <c r="P158" s="545">
        <f>BOKFØRT!C158</f>
        <v>0</v>
      </c>
      <c r="Q158" s="583">
        <f t="shared" si="22"/>
        <v>0</v>
      </c>
      <c r="R158" s="199"/>
      <c r="S158" s="199"/>
    </row>
    <row r="159" spans="1:19" s="1" customFormat="1" ht="12.75">
      <c r="A159" s="395">
        <v>311125</v>
      </c>
      <c r="B159" s="408" t="s">
        <v>614</v>
      </c>
      <c r="C159" s="397"/>
      <c r="D159" s="438"/>
      <c r="E159" s="436"/>
      <c r="F159" s="439">
        <f>IF(D159=0,0,+G158)</f>
        <v>0</v>
      </c>
      <c r="G159" s="544">
        <f t="shared" si="18"/>
        <v>0</v>
      </c>
      <c r="H159" s="538">
        <f t="shared" si="19"/>
        <v>0</v>
      </c>
      <c r="I159" s="539">
        <f t="shared" si="20"/>
        <v>0</v>
      </c>
      <c r="J159" s="540"/>
      <c r="K159" s="403"/>
      <c r="L159" s="541">
        <f t="shared" si="21"/>
      </c>
      <c r="M159" s="542"/>
      <c r="N159" s="544">
        <v>0</v>
      </c>
      <c r="O159" s="542"/>
      <c r="P159" s="545">
        <f>BOKFØRT!C159</f>
        <v>0</v>
      </c>
      <c r="Q159" s="583">
        <f t="shared" si="22"/>
        <v>0</v>
      </c>
      <c r="R159" s="199"/>
      <c r="S159" s="199"/>
    </row>
    <row r="160" spans="1:19" s="1" customFormat="1" ht="12.75">
      <c r="A160" s="395">
        <v>311126</v>
      </c>
      <c r="B160" s="408" t="s">
        <v>572</v>
      </c>
      <c r="C160" s="397"/>
      <c r="D160" s="436"/>
      <c r="E160" s="436"/>
      <c r="F160" s="418"/>
      <c r="G160" s="544">
        <f t="shared" si="18"/>
        <v>0</v>
      </c>
      <c r="H160" s="538">
        <f t="shared" si="19"/>
        <v>0</v>
      </c>
      <c r="I160" s="539">
        <f t="shared" si="20"/>
        <v>0</v>
      </c>
      <c r="J160" s="540"/>
      <c r="K160" s="403"/>
      <c r="L160" s="541">
        <f t="shared" si="21"/>
      </c>
      <c r="M160" s="542"/>
      <c r="N160" s="544">
        <v>0</v>
      </c>
      <c r="O160" s="542"/>
      <c r="P160" s="545">
        <f>BOKFØRT!C160</f>
        <v>0</v>
      </c>
      <c r="Q160" s="583">
        <f t="shared" si="22"/>
        <v>0</v>
      </c>
      <c r="R160" s="199"/>
      <c r="S160" s="199"/>
    </row>
    <row r="161" spans="1:19" s="1" customFormat="1" ht="12.75">
      <c r="A161" s="395">
        <v>311127</v>
      </c>
      <c r="B161" s="408" t="s">
        <v>573</v>
      </c>
      <c r="C161" s="397"/>
      <c r="D161" s="438"/>
      <c r="E161" s="436"/>
      <c r="F161" s="439">
        <f>IF(D161=0,0,+G160)</f>
        <v>0</v>
      </c>
      <c r="G161" s="544">
        <f t="shared" si="18"/>
        <v>0</v>
      </c>
      <c r="H161" s="538">
        <f t="shared" si="19"/>
        <v>0</v>
      </c>
      <c r="I161" s="539">
        <f t="shared" si="20"/>
        <v>0</v>
      </c>
      <c r="J161" s="540"/>
      <c r="K161" s="403"/>
      <c r="L161" s="541">
        <f t="shared" si="21"/>
      </c>
      <c r="M161" s="542"/>
      <c r="N161" s="544">
        <v>0</v>
      </c>
      <c r="O161" s="542"/>
      <c r="P161" s="545">
        <f>BOKFØRT!C161</f>
        <v>0</v>
      </c>
      <c r="Q161" s="583">
        <f t="shared" si="22"/>
        <v>0</v>
      </c>
      <c r="R161" s="199"/>
      <c r="S161" s="199"/>
    </row>
    <row r="162" spans="1:19" s="1" customFormat="1" ht="12.75">
      <c r="A162" s="395">
        <v>311130</v>
      </c>
      <c r="B162" s="437" t="s">
        <v>429</v>
      </c>
      <c r="C162" s="397"/>
      <c r="D162" s="436"/>
      <c r="E162" s="436"/>
      <c r="F162" s="418"/>
      <c r="G162" s="544">
        <f t="shared" si="18"/>
        <v>0</v>
      </c>
      <c r="H162" s="538">
        <f t="shared" si="19"/>
        <v>0</v>
      </c>
      <c r="I162" s="539">
        <f t="shared" si="20"/>
        <v>0</v>
      </c>
      <c r="J162" s="540"/>
      <c r="K162" s="403"/>
      <c r="L162" s="541">
        <f t="shared" si="21"/>
      </c>
      <c r="M162" s="542"/>
      <c r="N162" s="544">
        <v>0</v>
      </c>
      <c r="O162" s="542"/>
      <c r="P162" s="545">
        <f>BOKFØRT!C162</f>
        <v>0</v>
      </c>
      <c r="Q162" s="583">
        <f t="shared" si="22"/>
        <v>0</v>
      </c>
      <c r="R162" s="199"/>
      <c r="S162" s="199"/>
    </row>
    <row r="163" spans="1:19" s="1" customFormat="1" ht="12.75">
      <c r="A163" s="395">
        <v>311131</v>
      </c>
      <c r="B163" s="408" t="s">
        <v>432</v>
      </c>
      <c r="C163" s="397"/>
      <c r="D163" s="438"/>
      <c r="E163" s="436"/>
      <c r="F163" s="439">
        <f>IF(D163=0,0,+G162)</f>
        <v>0</v>
      </c>
      <c r="G163" s="544">
        <f t="shared" si="18"/>
        <v>0</v>
      </c>
      <c r="H163" s="538">
        <f t="shared" si="19"/>
        <v>0</v>
      </c>
      <c r="I163" s="539">
        <f t="shared" si="20"/>
        <v>0</v>
      </c>
      <c r="J163" s="540"/>
      <c r="K163" s="403"/>
      <c r="L163" s="541">
        <f t="shared" si="21"/>
      </c>
      <c r="M163" s="542"/>
      <c r="N163" s="544">
        <v>0</v>
      </c>
      <c r="O163" s="542"/>
      <c r="P163" s="545">
        <f>BOKFØRT!C163</f>
        <v>0</v>
      </c>
      <c r="Q163" s="583">
        <f t="shared" si="22"/>
        <v>0</v>
      </c>
      <c r="R163" s="199"/>
      <c r="S163" s="199"/>
    </row>
    <row r="164" spans="1:19" s="1" customFormat="1" ht="12.75">
      <c r="A164" s="395">
        <v>311142</v>
      </c>
      <c r="B164" s="437" t="s">
        <v>615</v>
      </c>
      <c r="C164" s="397"/>
      <c r="D164" s="436"/>
      <c r="E164" s="436"/>
      <c r="F164" s="418"/>
      <c r="G164" s="544">
        <f t="shared" si="18"/>
        <v>0</v>
      </c>
      <c r="H164" s="538">
        <f t="shared" si="19"/>
        <v>0</v>
      </c>
      <c r="I164" s="539">
        <f t="shared" si="20"/>
        <v>0</v>
      </c>
      <c r="J164" s="540"/>
      <c r="K164" s="403"/>
      <c r="L164" s="541">
        <f t="shared" si="21"/>
      </c>
      <c r="M164" s="542"/>
      <c r="N164" s="544">
        <v>0</v>
      </c>
      <c r="O164" s="542"/>
      <c r="P164" s="545">
        <f>BOKFØRT!C164</f>
        <v>0</v>
      </c>
      <c r="Q164" s="583">
        <f t="shared" si="22"/>
        <v>0</v>
      </c>
      <c r="R164" s="199"/>
      <c r="S164" s="199"/>
    </row>
    <row r="165" spans="1:19" s="1" customFormat="1" ht="12.75">
      <c r="A165" s="395">
        <v>311143</v>
      </c>
      <c r="B165" s="408" t="s">
        <v>616</v>
      </c>
      <c r="C165" s="397"/>
      <c r="D165" s="438"/>
      <c r="E165" s="436"/>
      <c r="F165" s="439">
        <f>IF(D165=0,0,+G164)</f>
        <v>0</v>
      </c>
      <c r="G165" s="544">
        <f t="shared" si="18"/>
        <v>0</v>
      </c>
      <c r="H165" s="538">
        <f t="shared" si="19"/>
        <v>0</v>
      </c>
      <c r="I165" s="539">
        <f t="shared" si="20"/>
        <v>0</v>
      </c>
      <c r="J165" s="540"/>
      <c r="K165" s="403"/>
      <c r="L165" s="541">
        <f t="shared" si="21"/>
      </c>
      <c r="M165" s="542"/>
      <c r="N165" s="544">
        <v>0</v>
      </c>
      <c r="O165" s="542"/>
      <c r="P165" s="545">
        <f>BOKFØRT!C165</f>
        <v>0</v>
      </c>
      <c r="Q165" s="583">
        <f t="shared" si="22"/>
        <v>0</v>
      </c>
      <c r="R165" s="199"/>
      <c r="S165" s="199"/>
    </row>
    <row r="166" spans="1:19" s="1" customFormat="1" ht="12.75">
      <c r="A166" s="395">
        <v>311150</v>
      </c>
      <c r="B166" s="408" t="s">
        <v>617</v>
      </c>
      <c r="C166" s="397"/>
      <c r="D166" s="436"/>
      <c r="E166" s="436"/>
      <c r="F166" s="418"/>
      <c r="G166" s="544">
        <f t="shared" si="18"/>
        <v>0</v>
      </c>
      <c r="H166" s="538">
        <f t="shared" si="19"/>
        <v>0</v>
      </c>
      <c r="I166" s="539">
        <f t="shared" si="20"/>
        <v>0</v>
      </c>
      <c r="J166" s="540"/>
      <c r="K166" s="403"/>
      <c r="L166" s="541">
        <f t="shared" si="21"/>
      </c>
      <c r="M166" s="542"/>
      <c r="N166" s="544">
        <v>0</v>
      </c>
      <c r="O166" s="542"/>
      <c r="P166" s="545">
        <f>BOKFØRT!C166</f>
        <v>0</v>
      </c>
      <c r="Q166" s="583">
        <f t="shared" si="22"/>
        <v>0</v>
      </c>
      <c r="R166" s="199"/>
      <c r="S166" s="199"/>
    </row>
    <row r="167" spans="1:19" s="1" customFormat="1" ht="12.75">
      <c r="A167" s="395">
        <v>311151</v>
      </c>
      <c r="B167" s="408" t="s">
        <v>629</v>
      </c>
      <c r="C167" s="397"/>
      <c r="D167" s="438"/>
      <c r="E167" s="436"/>
      <c r="F167" s="439">
        <f>IF(D167=0,0,+G166)</f>
        <v>0</v>
      </c>
      <c r="G167" s="544">
        <f t="shared" si="18"/>
        <v>0</v>
      </c>
      <c r="H167" s="538">
        <f t="shared" si="19"/>
        <v>0</v>
      </c>
      <c r="I167" s="539">
        <f t="shared" si="20"/>
        <v>0</v>
      </c>
      <c r="J167" s="540"/>
      <c r="K167" s="403"/>
      <c r="L167" s="541">
        <f t="shared" si="21"/>
      </c>
      <c r="M167" s="542"/>
      <c r="N167" s="544">
        <v>0</v>
      </c>
      <c r="O167" s="542"/>
      <c r="P167" s="545">
        <f>BOKFØRT!C167</f>
        <v>0</v>
      </c>
      <c r="Q167" s="583">
        <f t="shared" si="22"/>
        <v>0</v>
      </c>
      <c r="R167" s="199"/>
      <c r="S167" s="199"/>
    </row>
    <row r="168" spans="1:19" s="1" customFormat="1" ht="12.75">
      <c r="A168" s="395">
        <v>311152</v>
      </c>
      <c r="B168" s="408" t="s">
        <v>630</v>
      </c>
      <c r="C168" s="397"/>
      <c r="D168" s="436"/>
      <c r="E168" s="436"/>
      <c r="F168" s="418"/>
      <c r="G168" s="544">
        <f t="shared" si="18"/>
        <v>0</v>
      </c>
      <c r="H168" s="538">
        <f t="shared" si="19"/>
        <v>0</v>
      </c>
      <c r="I168" s="539">
        <f t="shared" si="20"/>
        <v>0</v>
      </c>
      <c r="J168" s="540"/>
      <c r="K168" s="403"/>
      <c r="L168" s="541">
        <f t="shared" si="21"/>
      </c>
      <c r="M168" s="542"/>
      <c r="N168" s="544">
        <v>0</v>
      </c>
      <c r="O168" s="542"/>
      <c r="P168" s="545">
        <f>BOKFØRT!C168</f>
        <v>0</v>
      </c>
      <c r="Q168" s="583">
        <f t="shared" si="22"/>
        <v>0</v>
      </c>
      <c r="R168" s="199"/>
      <c r="S168" s="199"/>
    </row>
    <row r="169" spans="1:19" s="1" customFormat="1" ht="12.75">
      <c r="A169" s="395">
        <v>311153</v>
      </c>
      <c r="B169" s="408" t="s">
        <v>631</v>
      </c>
      <c r="C169" s="397"/>
      <c r="D169" s="438"/>
      <c r="E169" s="436"/>
      <c r="F169" s="439">
        <f>IF(D169=0,0,+G168)</f>
        <v>0</v>
      </c>
      <c r="G169" s="544">
        <f t="shared" si="18"/>
        <v>0</v>
      </c>
      <c r="H169" s="538">
        <f t="shared" si="19"/>
        <v>0</v>
      </c>
      <c r="I169" s="539">
        <f t="shared" si="20"/>
        <v>0</v>
      </c>
      <c r="J169" s="540"/>
      <c r="K169" s="403"/>
      <c r="L169" s="541">
        <f t="shared" si="21"/>
      </c>
      <c r="M169" s="542"/>
      <c r="N169" s="544">
        <v>0</v>
      </c>
      <c r="O169" s="542"/>
      <c r="P169" s="545">
        <f>BOKFØRT!C169</f>
        <v>0</v>
      </c>
      <c r="Q169" s="583">
        <f t="shared" si="22"/>
        <v>0</v>
      </c>
      <c r="R169" s="199"/>
      <c r="S169" s="199"/>
    </row>
    <row r="170" spans="1:19" s="1" customFormat="1" ht="12.75">
      <c r="A170" s="395">
        <v>311170</v>
      </c>
      <c r="B170" s="437" t="s">
        <v>632</v>
      </c>
      <c r="C170" s="397"/>
      <c r="D170" s="436"/>
      <c r="E170" s="436"/>
      <c r="F170" s="418"/>
      <c r="G170" s="544">
        <f t="shared" si="18"/>
        <v>0</v>
      </c>
      <c r="H170" s="538">
        <f t="shared" si="19"/>
        <v>0</v>
      </c>
      <c r="I170" s="539">
        <f t="shared" si="20"/>
        <v>0</v>
      </c>
      <c r="J170" s="540"/>
      <c r="K170" s="403"/>
      <c r="L170" s="541">
        <f t="shared" si="21"/>
      </c>
      <c r="M170" s="542"/>
      <c r="N170" s="544">
        <v>0</v>
      </c>
      <c r="O170" s="542"/>
      <c r="P170" s="545">
        <f>BOKFØRT!C170</f>
        <v>0</v>
      </c>
      <c r="Q170" s="583">
        <f t="shared" si="22"/>
        <v>0</v>
      </c>
      <c r="R170" s="199"/>
      <c r="S170" s="199"/>
    </row>
    <row r="171" spans="1:19" s="1" customFormat="1" ht="12.75">
      <c r="A171" s="395">
        <v>311171</v>
      </c>
      <c r="B171" s="408" t="s">
        <v>633</v>
      </c>
      <c r="C171" s="397"/>
      <c r="D171" s="438"/>
      <c r="E171" s="436"/>
      <c r="F171" s="439">
        <f>IF(D171=0,0,+G170)</f>
        <v>0</v>
      </c>
      <c r="G171" s="544">
        <f t="shared" si="18"/>
        <v>0</v>
      </c>
      <c r="H171" s="538">
        <f t="shared" si="19"/>
        <v>0</v>
      </c>
      <c r="I171" s="539">
        <f t="shared" si="20"/>
        <v>0</v>
      </c>
      <c r="J171" s="540"/>
      <c r="K171" s="403"/>
      <c r="L171" s="541">
        <f t="shared" si="21"/>
      </c>
      <c r="M171" s="542"/>
      <c r="N171" s="544">
        <v>0</v>
      </c>
      <c r="O171" s="542"/>
      <c r="P171" s="545">
        <f>BOKFØRT!C171</f>
        <v>0</v>
      </c>
      <c r="Q171" s="583">
        <f t="shared" si="22"/>
        <v>0</v>
      </c>
      <c r="R171" s="199"/>
      <c r="S171" s="199"/>
    </row>
    <row r="172" spans="1:19" s="1" customFormat="1" ht="12.75">
      <c r="A172" s="395">
        <v>311180</v>
      </c>
      <c r="B172" s="437" t="s">
        <v>634</v>
      </c>
      <c r="C172" s="397"/>
      <c r="D172" s="436"/>
      <c r="E172" s="436"/>
      <c r="F172" s="418"/>
      <c r="G172" s="544">
        <f t="shared" si="18"/>
        <v>0</v>
      </c>
      <c r="H172" s="538">
        <f t="shared" si="19"/>
        <v>0</v>
      </c>
      <c r="I172" s="539">
        <f t="shared" si="20"/>
        <v>0</v>
      </c>
      <c r="J172" s="540"/>
      <c r="K172" s="403"/>
      <c r="L172" s="541">
        <f t="shared" si="21"/>
      </c>
      <c r="M172" s="542"/>
      <c r="N172" s="544">
        <v>0</v>
      </c>
      <c r="O172" s="542"/>
      <c r="P172" s="545">
        <f>BOKFØRT!C172</f>
        <v>0</v>
      </c>
      <c r="Q172" s="583">
        <f t="shared" si="22"/>
        <v>0</v>
      </c>
      <c r="R172" s="199"/>
      <c r="S172" s="199"/>
    </row>
    <row r="173" spans="1:19" s="1" customFormat="1" ht="12.75">
      <c r="A173" s="395">
        <v>311181</v>
      </c>
      <c r="B173" s="408" t="s">
        <v>635</v>
      </c>
      <c r="C173" s="397"/>
      <c r="D173" s="438"/>
      <c r="E173" s="436"/>
      <c r="F173" s="439">
        <f>IF(D173=0,0,+G172)</f>
        <v>0</v>
      </c>
      <c r="G173" s="544">
        <f t="shared" si="18"/>
        <v>0</v>
      </c>
      <c r="H173" s="538">
        <f t="shared" si="19"/>
        <v>0</v>
      </c>
      <c r="I173" s="539">
        <f t="shared" si="20"/>
        <v>0</v>
      </c>
      <c r="J173" s="540"/>
      <c r="K173" s="403"/>
      <c r="L173" s="541">
        <f t="shared" si="21"/>
      </c>
      <c r="M173" s="542"/>
      <c r="N173" s="544">
        <v>0</v>
      </c>
      <c r="O173" s="542"/>
      <c r="P173" s="545">
        <f>BOKFØRT!C173</f>
        <v>0</v>
      </c>
      <c r="Q173" s="583">
        <f t="shared" si="22"/>
        <v>0</v>
      </c>
      <c r="R173" s="199"/>
      <c r="S173" s="199"/>
    </row>
    <row r="174" spans="1:19" s="1" customFormat="1" ht="12.75">
      <c r="A174" s="395">
        <v>311190</v>
      </c>
      <c r="B174" s="408" t="s">
        <v>636</v>
      </c>
      <c r="C174" s="397"/>
      <c r="D174" s="436"/>
      <c r="E174" s="436"/>
      <c r="F174" s="418"/>
      <c r="G174" s="544">
        <f t="shared" si="18"/>
        <v>0</v>
      </c>
      <c r="H174" s="538">
        <f t="shared" si="19"/>
        <v>0</v>
      </c>
      <c r="I174" s="539">
        <f t="shared" si="20"/>
        <v>0</v>
      </c>
      <c r="J174" s="540"/>
      <c r="K174" s="403"/>
      <c r="L174" s="541">
        <f t="shared" si="21"/>
      </c>
      <c r="M174" s="542"/>
      <c r="N174" s="544">
        <v>0</v>
      </c>
      <c r="O174" s="542"/>
      <c r="P174" s="545">
        <f>BOKFØRT!C174</f>
        <v>0</v>
      </c>
      <c r="Q174" s="583">
        <f t="shared" si="22"/>
        <v>0</v>
      </c>
      <c r="R174" s="199"/>
      <c r="S174" s="199"/>
    </row>
    <row r="175" spans="1:19" s="1" customFormat="1" ht="12.75">
      <c r="A175" s="395">
        <v>311191</v>
      </c>
      <c r="B175" s="408" t="s">
        <v>637</v>
      </c>
      <c r="C175" s="397"/>
      <c r="D175" s="438"/>
      <c r="E175" s="436"/>
      <c r="F175" s="439">
        <f>IF(D175=0,0,+G174)</f>
        <v>0</v>
      </c>
      <c r="G175" s="544">
        <f t="shared" si="18"/>
        <v>0</v>
      </c>
      <c r="H175" s="538">
        <f t="shared" si="19"/>
        <v>0</v>
      </c>
      <c r="I175" s="539">
        <f t="shared" si="20"/>
        <v>0</v>
      </c>
      <c r="J175" s="540"/>
      <c r="K175" s="403"/>
      <c r="L175" s="541">
        <f t="shared" si="21"/>
      </c>
      <c r="M175" s="542"/>
      <c r="N175" s="544">
        <v>0</v>
      </c>
      <c r="O175" s="542"/>
      <c r="P175" s="545">
        <f>BOKFØRT!C175</f>
        <v>0</v>
      </c>
      <c r="Q175" s="583">
        <f t="shared" si="22"/>
        <v>0</v>
      </c>
      <c r="R175" s="199"/>
      <c r="S175" s="199"/>
    </row>
    <row r="176" spans="1:19" s="1" customFormat="1" ht="12.75">
      <c r="A176" s="395">
        <v>313720</v>
      </c>
      <c r="B176" s="408" t="s">
        <v>383</v>
      </c>
      <c r="C176" s="397"/>
      <c r="D176" s="436"/>
      <c r="E176" s="436"/>
      <c r="F176" s="418"/>
      <c r="G176" s="544">
        <f t="shared" si="18"/>
        <v>0</v>
      </c>
      <c r="H176" s="538">
        <f t="shared" si="19"/>
        <v>0</v>
      </c>
      <c r="I176" s="539">
        <f t="shared" si="20"/>
        <v>0</v>
      </c>
      <c r="J176" s="540"/>
      <c r="K176" s="403"/>
      <c r="L176" s="541">
        <f t="shared" si="21"/>
      </c>
      <c r="M176" s="542"/>
      <c r="N176" s="544">
        <v>0</v>
      </c>
      <c r="O176" s="542"/>
      <c r="P176" s="545">
        <f>BOKFØRT!C176</f>
        <v>0</v>
      </c>
      <c r="Q176" s="583">
        <f t="shared" si="22"/>
        <v>0</v>
      </c>
      <c r="R176" s="199"/>
      <c r="S176" s="199"/>
    </row>
    <row r="177" spans="1:19" s="1" customFormat="1" ht="12.75">
      <c r="A177" s="395">
        <v>313721</v>
      </c>
      <c r="B177" s="408" t="s">
        <v>384</v>
      </c>
      <c r="C177" s="397"/>
      <c r="D177" s="438"/>
      <c r="E177" s="436"/>
      <c r="F177" s="439">
        <f>IF(D177=0,0,+G176)</f>
        <v>0</v>
      </c>
      <c r="G177" s="544">
        <f t="shared" si="18"/>
        <v>0</v>
      </c>
      <c r="H177" s="538">
        <f t="shared" si="19"/>
        <v>0</v>
      </c>
      <c r="I177" s="539">
        <f t="shared" si="20"/>
        <v>0</v>
      </c>
      <c r="J177" s="540"/>
      <c r="K177" s="403"/>
      <c r="L177" s="541">
        <f t="shared" si="21"/>
      </c>
      <c r="M177" s="542"/>
      <c r="N177" s="544">
        <v>0</v>
      </c>
      <c r="O177" s="542"/>
      <c r="P177" s="545">
        <f>BOKFØRT!C177</f>
        <v>0</v>
      </c>
      <c r="Q177" s="583">
        <f t="shared" si="22"/>
        <v>0</v>
      </c>
      <c r="R177" s="199"/>
      <c r="S177" s="199"/>
    </row>
    <row r="178" spans="1:19" s="1" customFormat="1" ht="12.75">
      <c r="A178" s="395">
        <v>314010</v>
      </c>
      <c r="B178" s="437" t="s">
        <v>550</v>
      </c>
      <c r="C178" s="397"/>
      <c r="D178" s="436"/>
      <c r="E178" s="436"/>
      <c r="F178" s="418"/>
      <c r="G178" s="544">
        <f t="shared" si="18"/>
        <v>0</v>
      </c>
      <c r="H178" s="538">
        <f t="shared" si="19"/>
        <v>0</v>
      </c>
      <c r="I178" s="539">
        <f t="shared" si="20"/>
        <v>0</v>
      </c>
      <c r="J178" s="540"/>
      <c r="K178" s="403"/>
      <c r="L178" s="541">
        <f t="shared" si="21"/>
      </c>
      <c r="M178" s="542"/>
      <c r="N178" s="544">
        <v>0</v>
      </c>
      <c r="O178" s="542"/>
      <c r="P178" s="545">
        <f>BOKFØRT!C178</f>
        <v>0</v>
      </c>
      <c r="Q178" s="583">
        <f t="shared" si="22"/>
        <v>0</v>
      </c>
      <c r="R178" s="199"/>
      <c r="S178" s="199"/>
    </row>
    <row r="179" spans="1:19" s="1" customFormat="1" ht="12.75">
      <c r="A179" s="395">
        <v>314012</v>
      </c>
      <c r="B179" s="408" t="s">
        <v>638</v>
      </c>
      <c r="C179" s="397"/>
      <c r="D179" s="436"/>
      <c r="E179" s="436"/>
      <c r="F179" s="418"/>
      <c r="G179" s="544">
        <f t="shared" si="18"/>
        <v>0</v>
      </c>
      <c r="H179" s="538">
        <f t="shared" si="19"/>
        <v>0</v>
      </c>
      <c r="I179" s="539">
        <f t="shared" si="20"/>
        <v>0</v>
      </c>
      <c r="J179" s="540"/>
      <c r="K179" s="403"/>
      <c r="L179" s="541">
        <f t="shared" si="21"/>
      </c>
      <c r="M179" s="542"/>
      <c r="N179" s="544">
        <v>0</v>
      </c>
      <c r="O179" s="542"/>
      <c r="P179" s="545">
        <f>BOKFØRT!C179</f>
        <v>0</v>
      </c>
      <c r="Q179" s="583">
        <f t="shared" si="22"/>
        <v>0</v>
      </c>
      <c r="R179" s="199"/>
      <c r="S179" s="199"/>
    </row>
    <row r="180" spans="1:19" s="1" customFormat="1" ht="12.75">
      <c r="A180" s="395">
        <v>314013</v>
      </c>
      <c r="B180" s="437" t="s">
        <v>639</v>
      </c>
      <c r="C180" s="397"/>
      <c r="D180" s="438"/>
      <c r="E180" s="436"/>
      <c r="F180" s="439">
        <f>IF(D180=0,0,+G179)</f>
        <v>0</v>
      </c>
      <c r="G180" s="544">
        <f t="shared" si="18"/>
        <v>0</v>
      </c>
      <c r="H180" s="538">
        <f t="shared" si="19"/>
        <v>0</v>
      </c>
      <c r="I180" s="539">
        <f t="shared" si="20"/>
        <v>0</v>
      </c>
      <c r="J180" s="540"/>
      <c r="K180" s="403"/>
      <c r="L180" s="541">
        <f t="shared" si="21"/>
      </c>
      <c r="M180" s="542"/>
      <c r="N180" s="544">
        <v>0</v>
      </c>
      <c r="O180" s="542"/>
      <c r="P180" s="545">
        <f>BOKFØRT!C180</f>
        <v>0</v>
      </c>
      <c r="Q180" s="583">
        <f t="shared" si="22"/>
        <v>0</v>
      </c>
      <c r="R180" s="199"/>
      <c r="S180" s="199"/>
    </row>
    <row r="181" spans="1:19" s="1" customFormat="1" ht="12.75">
      <c r="A181" s="395">
        <v>314014</v>
      </c>
      <c r="B181" s="408" t="s">
        <v>588</v>
      </c>
      <c r="C181" s="397"/>
      <c r="D181" s="436"/>
      <c r="E181" s="436"/>
      <c r="F181" s="418"/>
      <c r="G181" s="544">
        <f t="shared" si="18"/>
        <v>0</v>
      </c>
      <c r="H181" s="538">
        <f t="shared" si="19"/>
        <v>0</v>
      </c>
      <c r="I181" s="539">
        <f t="shared" si="20"/>
        <v>0</v>
      </c>
      <c r="J181" s="540"/>
      <c r="K181" s="403"/>
      <c r="L181" s="541">
        <f t="shared" si="21"/>
      </c>
      <c r="M181" s="542"/>
      <c r="N181" s="544">
        <v>0</v>
      </c>
      <c r="O181" s="542"/>
      <c r="P181" s="545">
        <f>BOKFØRT!C181</f>
        <v>0</v>
      </c>
      <c r="Q181" s="583">
        <f t="shared" si="22"/>
        <v>0</v>
      </c>
      <c r="R181" s="199"/>
      <c r="S181" s="199"/>
    </row>
    <row r="182" spans="1:19" s="1" customFormat="1" ht="12.75">
      <c r="A182" s="395">
        <v>314015</v>
      </c>
      <c r="B182" s="408" t="s">
        <v>589</v>
      </c>
      <c r="C182" s="397"/>
      <c r="D182" s="438"/>
      <c r="E182" s="436"/>
      <c r="F182" s="439">
        <f>IF(D182=0,0,+G181)</f>
        <v>0</v>
      </c>
      <c r="G182" s="544">
        <f t="shared" si="18"/>
        <v>0</v>
      </c>
      <c r="H182" s="538">
        <f t="shared" si="19"/>
        <v>0</v>
      </c>
      <c r="I182" s="539">
        <f t="shared" si="20"/>
        <v>0</v>
      </c>
      <c r="J182" s="540"/>
      <c r="K182" s="403"/>
      <c r="L182" s="541">
        <f t="shared" si="21"/>
      </c>
      <c r="M182" s="542"/>
      <c r="N182" s="544">
        <v>0</v>
      </c>
      <c r="O182" s="542"/>
      <c r="P182" s="545">
        <f>BOKFØRT!C182</f>
        <v>0</v>
      </c>
      <c r="Q182" s="583">
        <f t="shared" si="22"/>
        <v>0</v>
      </c>
      <c r="R182" s="199"/>
      <c r="S182" s="199"/>
    </row>
    <row r="183" spans="1:19" s="1" customFormat="1" ht="12.75">
      <c r="A183" s="395">
        <v>314020</v>
      </c>
      <c r="B183" s="408" t="s">
        <v>640</v>
      </c>
      <c r="C183" s="397"/>
      <c r="D183" s="436"/>
      <c r="E183" s="436"/>
      <c r="F183" s="418"/>
      <c r="G183" s="544">
        <f t="shared" si="18"/>
        <v>0</v>
      </c>
      <c r="H183" s="538">
        <f t="shared" si="19"/>
        <v>0</v>
      </c>
      <c r="I183" s="539">
        <f t="shared" si="20"/>
        <v>0</v>
      </c>
      <c r="J183" s="540"/>
      <c r="K183" s="403"/>
      <c r="L183" s="541">
        <f t="shared" si="21"/>
      </c>
      <c r="M183" s="542"/>
      <c r="N183" s="544">
        <v>0</v>
      </c>
      <c r="O183" s="542"/>
      <c r="P183" s="545">
        <f>BOKFØRT!C183</f>
        <v>0</v>
      </c>
      <c r="Q183" s="583">
        <f t="shared" si="22"/>
        <v>0</v>
      </c>
      <c r="R183" s="199"/>
      <c r="S183" s="199"/>
    </row>
    <row r="184" spans="1:19" s="1" customFormat="1" ht="12.75">
      <c r="A184" s="395">
        <v>314022</v>
      </c>
      <c r="B184" s="408" t="s">
        <v>641</v>
      </c>
      <c r="C184" s="397"/>
      <c r="D184" s="436"/>
      <c r="E184" s="436"/>
      <c r="F184" s="418"/>
      <c r="G184" s="544">
        <f t="shared" si="18"/>
        <v>0</v>
      </c>
      <c r="H184" s="538">
        <f t="shared" si="19"/>
        <v>0</v>
      </c>
      <c r="I184" s="539">
        <f t="shared" si="20"/>
        <v>0</v>
      </c>
      <c r="J184" s="540"/>
      <c r="K184" s="403"/>
      <c r="L184" s="541">
        <f t="shared" si="21"/>
      </c>
      <c r="M184" s="542"/>
      <c r="N184" s="544">
        <v>0</v>
      </c>
      <c r="O184" s="542"/>
      <c r="P184" s="545">
        <f>BOKFØRT!C184</f>
        <v>0</v>
      </c>
      <c r="Q184" s="583">
        <f t="shared" si="22"/>
        <v>0</v>
      </c>
      <c r="R184" s="199"/>
      <c r="S184" s="199"/>
    </row>
    <row r="185" spans="1:19" s="1" customFormat="1" ht="12.75">
      <c r="A185" s="395">
        <v>314023</v>
      </c>
      <c r="B185" s="408" t="s">
        <v>642</v>
      </c>
      <c r="C185" s="397"/>
      <c r="D185" s="438"/>
      <c r="E185" s="436"/>
      <c r="F185" s="439">
        <f>IF(D185=0,0,+G184)</f>
        <v>0</v>
      </c>
      <c r="G185" s="544">
        <f t="shared" si="18"/>
        <v>0</v>
      </c>
      <c r="H185" s="538">
        <f t="shared" si="19"/>
        <v>0</v>
      </c>
      <c r="I185" s="539">
        <f t="shared" si="20"/>
        <v>0</v>
      </c>
      <c r="J185" s="540"/>
      <c r="K185" s="403"/>
      <c r="L185" s="541">
        <f t="shared" si="21"/>
      </c>
      <c r="M185" s="542"/>
      <c r="N185" s="544">
        <v>0</v>
      </c>
      <c r="O185" s="542"/>
      <c r="P185" s="545">
        <f>BOKFØRT!C185</f>
        <v>0</v>
      </c>
      <c r="Q185" s="583">
        <f t="shared" si="22"/>
        <v>0</v>
      </c>
      <c r="R185" s="199"/>
      <c r="S185" s="199"/>
    </row>
    <row r="186" spans="1:19" s="1" customFormat="1" ht="12.75">
      <c r="A186" s="395">
        <v>314030</v>
      </c>
      <c r="B186" s="408" t="s">
        <v>643</v>
      </c>
      <c r="C186" s="397"/>
      <c r="D186" s="436"/>
      <c r="E186" s="436"/>
      <c r="F186" s="418"/>
      <c r="G186" s="544">
        <f t="shared" si="18"/>
        <v>0</v>
      </c>
      <c r="H186" s="538">
        <f t="shared" si="19"/>
        <v>0</v>
      </c>
      <c r="I186" s="539">
        <f t="shared" si="20"/>
        <v>0</v>
      </c>
      <c r="J186" s="540"/>
      <c r="K186" s="403"/>
      <c r="L186" s="541">
        <f t="shared" si="21"/>
      </c>
      <c r="M186" s="542"/>
      <c r="N186" s="544">
        <v>0</v>
      </c>
      <c r="O186" s="542"/>
      <c r="P186" s="545">
        <f>BOKFØRT!C186</f>
        <v>0</v>
      </c>
      <c r="Q186" s="583">
        <f t="shared" si="22"/>
        <v>0</v>
      </c>
      <c r="R186" s="199"/>
      <c r="S186" s="199"/>
    </row>
    <row r="187" spans="1:19" s="1" customFormat="1" ht="12.75">
      <c r="A187" s="395">
        <v>314031</v>
      </c>
      <c r="B187" s="408" t="s">
        <v>644</v>
      </c>
      <c r="C187" s="397"/>
      <c r="D187" s="438"/>
      <c r="E187" s="436"/>
      <c r="F187" s="439">
        <f>IF(D187=0,0,+G186)</f>
        <v>0</v>
      </c>
      <c r="G187" s="544">
        <f t="shared" si="18"/>
        <v>0</v>
      </c>
      <c r="H187" s="538">
        <f t="shared" si="19"/>
        <v>0</v>
      </c>
      <c r="I187" s="539">
        <f t="shared" si="20"/>
        <v>0</v>
      </c>
      <c r="J187" s="540"/>
      <c r="K187" s="403"/>
      <c r="L187" s="541">
        <f t="shared" si="21"/>
      </c>
      <c r="M187" s="542"/>
      <c r="N187" s="544">
        <v>0</v>
      </c>
      <c r="O187" s="542"/>
      <c r="P187" s="545">
        <f>BOKFØRT!C187</f>
        <v>0</v>
      </c>
      <c r="Q187" s="583">
        <f t="shared" si="22"/>
        <v>0</v>
      </c>
      <c r="R187" s="199"/>
      <c r="S187" s="199"/>
    </row>
    <row r="188" spans="1:19" s="1" customFormat="1" ht="12.75">
      <c r="A188" s="395">
        <v>314040</v>
      </c>
      <c r="B188" s="437" t="s">
        <v>645</v>
      </c>
      <c r="C188" s="397"/>
      <c r="D188" s="436"/>
      <c r="E188" s="436"/>
      <c r="F188" s="418"/>
      <c r="G188" s="544">
        <f t="shared" si="18"/>
        <v>0</v>
      </c>
      <c r="H188" s="538">
        <f t="shared" si="19"/>
        <v>0</v>
      </c>
      <c r="I188" s="539">
        <f t="shared" si="20"/>
        <v>0</v>
      </c>
      <c r="J188" s="540"/>
      <c r="K188" s="403"/>
      <c r="L188" s="541">
        <f t="shared" si="21"/>
      </c>
      <c r="M188" s="542"/>
      <c r="N188" s="544">
        <v>0</v>
      </c>
      <c r="O188" s="542"/>
      <c r="P188" s="545">
        <f>BOKFØRT!C188</f>
        <v>0</v>
      </c>
      <c r="Q188" s="583">
        <f t="shared" si="22"/>
        <v>0</v>
      </c>
      <c r="R188" s="199"/>
      <c r="S188" s="199"/>
    </row>
    <row r="189" spans="1:19" s="1" customFormat="1" ht="12.75">
      <c r="A189" s="395">
        <v>314041</v>
      </c>
      <c r="B189" s="408" t="s">
        <v>646</v>
      </c>
      <c r="C189" s="397"/>
      <c r="D189" s="438"/>
      <c r="E189" s="436"/>
      <c r="F189" s="439">
        <f>IF(D189=0,0,+G188)</f>
        <v>0</v>
      </c>
      <c r="G189" s="544">
        <f t="shared" si="18"/>
        <v>0</v>
      </c>
      <c r="H189" s="538">
        <f t="shared" si="19"/>
        <v>0</v>
      </c>
      <c r="I189" s="539">
        <f t="shared" si="20"/>
        <v>0</v>
      </c>
      <c r="J189" s="540"/>
      <c r="K189" s="403"/>
      <c r="L189" s="541">
        <f t="shared" si="21"/>
      </c>
      <c r="M189" s="542"/>
      <c r="N189" s="544">
        <v>0</v>
      </c>
      <c r="O189" s="542"/>
      <c r="P189" s="545">
        <f>BOKFØRT!C189</f>
        <v>0</v>
      </c>
      <c r="Q189" s="583">
        <f t="shared" si="22"/>
        <v>0</v>
      </c>
      <c r="R189" s="199"/>
      <c r="S189" s="199"/>
    </row>
    <row r="190" spans="1:19" s="1" customFormat="1" ht="12.75">
      <c r="A190" s="395">
        <v>314050</v>
      </c>
      <c r="B190" s="408" t="s">
        <v>139</v>
      </c>
      <c r="C190" s="397"/>
      <c r="D190" s="436"/>
      <c r="E190" s="436"/>
      <c r="F190" s="452"/>
      <c r="G190" s="544">
        <f t="shared" si="18"/>
        <v>0</v>
      </c>
      <c r="H190" s="538">
        <f t="shared" si="19"/>
        <v>0</v>
      </c>
      <c r="I190" s="539">
        <f t="shared" si="20"/>
        <v>0</v>
      </c>
      <c r="J190" s="540"/>
      <c r="K190" s="403"/>
      <c r="L190" s="541">
        <f t="shared" si="21"/>
      </c>
      <c r="M190" s="542"/>
      <c r="N190" s="544">
        <v>0</v>
      </c>
      <c r="O190" s="542"/>
      <c r="P190" s="545">
        <f>BOKFØRT!C190</f>
        <v>0</v>
      </c>
      <c r="Q190" s="583">
        <f t="shared" si="22"/>
        <v>0</v>
      </c>
      <c r="R190" s="199"/>
      <c r="S190" s="199"/>
    </row>
    <row r="191" spans="1:19" s="1" customFormat="1" ht="12.75">
      <c r="A191" s="395">
        <v>314052</v>
      </c>
      <c r="B191" s="408" t="s">
        <v>140</v>
      </c>
      <c r="C191" s="397"/>
      <c r="D191" s="436"/>
      <c r="E191" s="436"/>
      <c r="F191" s="452"/>
      <c r="G191" s="544">
        <f t="shared" si="18"/>
        <v>0</v>
      </c>
      <c r="H191" s="538">
        <f t="shared" si="19"/>
        <v>0</v>
      </c>
      <c r="I191" s="539">
        <f t="shared" si="20"/>
        <v>0</v>
      </c>
      <c r="J191" s="540"/>
      <c r="K191" s="403"/>
      <c r="L191" s="541">
        <f t="shared" si="21"/>
      </c>
      <c r="M191" s="542"/>
      <c r="N191" s="544">
        <v>0</v>
      </c>
      <c r="O191" s="542"/>
      <c r="P191" s="545">
        <f>BOKFØRT!C191</f>
        <v>0</v>
      </c>
      <c r="Q191" s="583">
        <f t="shared" si="22"/>
        <v>0</v>
      </c>
      <c r="R191" s="199"/>
      <c r="S191" s="199"/>
    </row>
    <row r="192" spans="1:19" s="1" customFormat="1" ht="12.75">
      <c r="A192" s="395">
        <v>314090</v>
      </c>
      <c r="B192" s="437" t="s">
        <v>552</v>
      </c>
      <c r="C192" s="397"/>
      <c r="D192" s="436"/>
      <c r="E192" s="436"/>
      <c r="F192" s="418"/>
      <c r="G192" s="544">
        <f t="shared" si="18"/>
        <v>0</v>
      </c>
      <c r="H192" s="538">
        <f t="shared" si="19"/>
        <v>0</v>
      </c>
      <c r="I192" s="539">
        <f t="shared" si="20"/>
        <v>0</v>
      </c>
      <c r="J192" s="540"/>
      <c r="K192" s="403"/>
      <c r="L192" s="541">
        <f t="shared" si="21"/>
      </c>
      <c r="M192" s="542"/>
      <c r="N192" s="544">
        <v>0</v>
      </c>
      <c r="O192" s="542"/>
      <c r="P192" s="545">
        <f>BOKFØRT!C192</f>
        <v>0</v>
      </c>
      <c r="Q192" s="583">
        <f t="shared" si="22"/>
        <v>0</v>
      </c>
      <c r="R192" s="199"/>
      <c r="S192" s="199"/>
    </row>
    <row r="193" spans="1:19" s="1" customFormat="1" ht="12.75">
      <c r="A193" s="395">
        <v>314091</v>
      </c>
      <c r="B193" s="408" t="s">
        <v>553</v>
      </c>
      <c r="C193" s="397"/>
      <c r="D193" s="438"/>
      <c r="E193" s="436"/>
      <c r="F193" s="439">
        <f>IF(D193=0,0,+G192)</f>
        <v>0</v>
      </c>
      <c r="G193" s="544">
        <f t="shared" si="18"/>
        <v>0</v>
      </c>
      <c r="H193" s="538">
        <f t="shared" si="19"/>
        <v>0</v>
      </c>
      <c r="I193" s="539">
        <f t="shared" si="20"/>
        <v>0</v>
      </c>
      <c r="J193" s="540"/>
      <c r="K193" s="403"/>
      <c r="L193" s="541">
        <f t="shared" si="21"/>
      </c>
      <c r="M193" s="542"/>
      <c r="N193" s="544">
        <v>0</v>
      </c>
      <c r="O193" s="542"/>
      <c r="P193" s="545">
        <f>BOKFØRT!C193</f>
        <v>0</v>
      </c>
      <c r="Q193" s="583">
        <f t="shared" si="22"/>
        <v>0</v>
      </c>
      <c r="R193" s="199"/>
      <c r="S193" s="199"/>
    </row>
    <row r="194" spans="1:19" s="1" customFormat="1" ht="12.75">
      <c r="A194" s="395">
        <v>314092</v>
      </c>
      <c r="B194" s="437" t="s">
        <v>590</v>
      </c>
      <c r="C194" s="397"/>
      <c r="D194" s="436"/>
      <c r="E194" s="436"/>
      <c r="F194" s="418"/>
      <c r="G194" s="544">
        <f t="shared" si="18"/>
        <v>0</v>
      </c>
      <c r="H194" s="538">
        <f t="shared" si="19"/>
        <v>0</v>
      </c>
      <c r="I194" s="539">
        <f t="shared" si="20"/>
        <v>0</v>
      </c>
      <c r="J194" s="540"/>
      <c r="K194" s="403"/>
      <c r="L194" s="541">
        <f t="shared" si="21"/>
      </c>
      <c r="M194" s="542"/>
      <c r="N194" s="544">
        <v>0</v>
      </c>
      <c r="O194" s="542"/>
      <c r="P194" s="545">
        <f>BOKFØRT!C194</f>
        <v>0</v>
      </c>
      <c r="Q194" s="583">
        <f t="shared" si="22"/>
        <v>0</v>
      </c>
      <c r="R194" s="199"/>
      <c r="S194" s="199"/>
    </row>
    <row r="195" spans="1:19" s="1" customFormat="1" ht="12.75">
      <c r="A195" s="395">
        <v>314095</v>
      </c>
      <c r="B195" s="408" t="s">
        <v>554</v>
      </c>
      <c r="C195" s="397"/>
      <c r="D195" s="440"/>
      <c r="E195" s="440"/>
      <c r="F195" s="413"/>
      <c r="G195" s="562">
        <f>SUM(I154:I194)</f>
        <v>0</v>
      </c>
      <c r="H195" s="414"/>
      <c r="I195" s="546" t="s">
        <v>555</v>
      </c>
      <c r="J195" s="546"/>
      <c r="K195" s="573"/>
      <c r="L195" s="541"/>
      <c r="M195" s="542"/>
      <c r="N195" s="562">
        <v>0</v>
      </c>
      <c r="O195" s="542"/>
      <c r="P195" s="545">
        <f>BOKFØRT!C195</f>
        <v>0</v>
      </c>
      <c r="Q195" s="583">
        <f t="shared" si="22"/>
        <v>0</v>
      </c>
      <c r="R195" s="199"/>
      <c r="S195" s="199"/>
    </row>
    <row r="196" spans="1:19" s="1" customFormat="1" ht="12.75">
      <c r="A196" s="395">
        <v>316122</v>
      </c>
      <c r="B196" s="408" t="s">
        <v>1</v>
      </c>
      <c r="C196" s="397"/>
      <c r="D196" s="436"/>
      <c r="E196" s="436"/>
      <c r="F196" s="418"/>
      <c r="G196" s="544">
        <f aca="true" t="shared" si="23" ref="G196:G235">IF(X=0,(IF(Me=0,Sa,Me*Sa)),(IF(Me=0,Sa*X,Me*X*Sa)))</f>
        <v>0</v>
      </c>
      <c r="H196" s="414"/>
      <c r="I196" s="540"/>
      <c r="J196" s="540"/>
      <c r="K196" s="403"/>
      <c r="L196" s="541">
        <f t="shared" si="21"/>
      </c>
      <c r="M196" s="542"/>
      <c r="N196" s="544">
        <v>0</v>
      </c>
      <c r="O196" s="542"/>
      <c r="P196" s="545">
        <f>BOKFØRT!C196</f>
        <v>0</v>
      </c>
      <c r="Q196" s="583">
        <f t="shared" si="22"/>
        <v>0</v>
      </c>
      <c r="R196" s="199"/>
      <c r="S196" s="199"/>
    </row>
    <row r="197" spans="1:19" s="1" customFormat="1" ht="12.75">
      <c r="A197" s="395">
        <v>316130</v>
      </c>
      <c r="B197" s="408" t="s">
        <v>2</v>
      </c>
      <c r="C197" s="397"/>
      <c r="D197" s="436"/>
      <c r="E197" s="436"/>
      <c r="F197" s="418"/>
      <c r="G197" s="544">
        <f t="shared" si="23"/>
        <v>0</v>
      </c>
      <c r="H197" s="414"/>
      <c r="I197" s="540"/>
      <c r="J197" s="540"/>
      <c r="K197" s="403"/>
      <c r="L197" s="541">
        <f t="shared" si="21"/>
      </c>
      <c r="M197" s="542"/>
      <c r="N197" s="544">
        <v>0</v>
      </c>
      <c r="O197" s="542"/>
      <c r="P197" s="545">
        <f>BOKFØRT!C197</f>
        <v>0</v>
      </c>
      <c r="Q197" s="583">
        <f t="shared" si="22"/>
        <v>0</v>
      </c>
      <c r="R197" s="199"/>
      <c r="S197" s="199"/>
    </row>
    <row r="198" spans="1:19" s="1" customFormat="1" ht="12.75">
      <c r="A198" s="395">
        <v>316131</v>
      </c>
      <c r="B198" s="408" t="s">
        <v>3</v>
      </c>
      <c r="C198" s="397"/>
      <c r="D198" s="436"/>
      <c r="E198" s="436"/>
      <c r="F198" s="418"/>
      <c r="G198" s="544">
        <f t="shared" si="23"/>
        <v>0</v>
      </c>
      <c r="H198" s="414"/>
      <c r="I198" s="540"/>
      <c r="J198" s="540"/>
      <c r="K198" s="403"/>
      <c r="L198" s="541">
        <f t="shared" si="21"/>
      </c>
      <c r="M198" s="542"/>
      <c r="N198" s="544">
        <v>0</v>
      </c>
      <c r="O198" s="542"/>
      <c r="P198" s="545">
        <f>BOKFØRT!C198</f>
        <v>0</v>
      </c>
      <c r="Q198" s="583">
        <f t="shared" si="22"/>
        <v>0</v>
      </c>
      <c r="R198" s="199"/>
      <c r="S198" s="199"/>
    </row>
    <row r="199" spans="1:19" s="1" customFormat="1" ht="12.75">
      <c r="A199" s="395">
        <v>316132</v>
      </c>
      <c r="B199" s="408" t="s">
        <v>4</v>
      </c>
      <c r="C199" s="397"/>
      <c r="D199" s="436"/>
      <c r="E199" s="436"/>
      <c r="F199" s="418"/>
      <c r="G199" s="544">
        <f t="shared" si="23"/>
        <v>0</v>
      </c>
      <c r="H199" s="414"/>
      <c r="I199" s="540"/>
      <c r="J199" s="540"/>
      <c r="K199" s="403"/>
      <c r="L199" s="541">
        <f t="shared" si="21"/>
      </c>
      <c r="M199" s="542"/>
      <c r="N199" s="544">
        <v>0</v>
      </c>
      <c r="O199" s="542"/>
      <c r="P199" s="545">
        <f>BOKFØRT!C199</f>
        <v>0</v>
      </c>
      <c r="Q199" s="583">
        <f t="shared" si="22"/>
        <v>0</v>
      </c>
      <c r="R199" s="199"/>
      <c r="S199" s="199"/>
    </row>
    <row r="200" spans="1:19" s="1" customFormat="1" ht="12.75">
      <c r="A200" s="395">
        <v>316133</v>
      </c>
      <c r="B200" s="408" t="s">
        <v>5</v>
      </c>
      <c r="C200" s="397"/>
      <c r="D200" s="436"/>
      <c r="E200" s="436"/>
      <c r="F200" s="418"/>
      <c r="G200" s="544">
        <f t="shared" si="23"/>
        <v>0</v>
      </c>
      <c r="H200" s="414"/>
      <c r="I200" s="540"/>
      <c r="J200" s="540"/>
      <c r="K200" s="403"/>
      <c r="L200" s="541">
        <f t="shared" si="21"/>
      </c>
      <c r="M200" s="542"/>
      <c r="N200" s="544">
        <v>0</v>
      </c>
      <c r="O200" s="542"/>
      <c r="P200" s="545">
        <f>BOKFØRT!C200</f>
        <v>0</v>
      </c>
      <c r="Q200" s="583">
        <f t="shared" si="22"/>
        <v>0</v>
      </c>
      <c r="R200" s="199"/>
      <c r="S200" s="199"/>
    </row>
    <row r="201" spans="1:19" s="1" customFormat="1" ht="12.75">
      <c r="A201" s="395">
        <v>316134</v>
      </c>
      <c r="B201" s="408" t="s">
        <v>6</v>
      </c>
      <c r="C201" s="397"/>
      <c r="D201" s="436"/>
      <c r="E201" s="436"/>
      <c r="F201" s="418"/>
      <c r="G201" s="544">
        <f t="shared" si="23"/>
        <v>0</v>
      </c>
      <c r="H201" s="414"/>
      <c r="I201" s="540"/>
      <c r="J201" s="540"/>
      <c r="K201" s="403"/>
      <c r="L201" s="541">
        <f t="shared" si="21"/>
      </c>
      <c r="M201" s="542"/>
      <c r="N201" s="544">
        <v>0</v>
      </c>
      <c r="O201" s="542"/>
      <c r="P201" s="545">
        <f>BOKFØRT!C201</f>
        <v>0</v>
      </c>
      <c r="Q201" s="583">
        <f t="shared" si="22"/>
        <v>0</v>
      </c>
      <c r="R201" s="199"/>
      <c r="S201" s="199"/>
    </row>
    <row r="202" spans="1:19" s="1" customFormat="1" ht="12.75">
      <c r="A202" s="395">
        <v>316135</v>
      </c>
      <c r="B202" s="408" t="s">
        <v>738</v>
      </c>
      <c r="C202" s="397"/>
      <c r="D202" s="436"/>
      <c r="E202" s="436"/>
      <c r="F202" s="418"/>
      <c r="G202" s="544">
        <f t="shared" si="23"/>
        <v>0</v>
      </c>
      <c r="H202" s="414"/>
      <c r="I202" s="540"/>
      <c r="J202" s="540"/>
      <c r="K202" s="403"/>
      <c r="L202" s="541">
        <f t="shared" si="21"/>
      </c>
      <c r="M202" s="542"/>
      <c r="N202" s="544">
        <v>0</v>
      </c>
      <c r="O202" s="542"/>
      <c r="P202" s="545">
        <f>BOKFØRT!C202</f>
        <v>0</v>
      </c>
      <c r="Q202" s="583">
        <f>G202+N202+P202</f>
        <v>0</v>
      </c>
      <c r="R202" s="199"/>
      <c r="S202" s="199"/>
    </row>
    <row r="203" spans="1:19" s="1" customFormat="1" ht="12.75">
      <c r="A203" s="395">
        <v>316138</v>
      </c>
      <c r="B203" s="408" t="s">
        <v>7</v>
      </c>
      <c r="C203" s="397"/>
      <c r="D203" s="436"/>
      <c r="E203" s="436"/>
      <c r="F203" s="418"/>
      <c r="G203" s="544">
        <f t="shared" si="23"/>
        <v>0</v>
      </c>
      <c r="H203" s="414"/>
      <c r="I203" s="540"/>
      <c r="J203" s="540"/>
      <c r="K203" s="403"/>
      <c r="L203" s="541">
        <f t="shared" si="21"/>
      </c>
      <c r="M203" s="542"/>
      <c r="N203" s="544">
        <v>0</v>
      </c>
      <c r="O203" s="542"/>
      <c r="P203" s="545">
        <f>BOKFØRT!C203</f>
        <v>0</v>
      </c>
      <c r="Q203" s="583">
        <f t="shared" si="22"/>
        <v>0</v>
      </c>
      <c r="R203" s="199"/>
      <c r="S203" s="199"/>
    </row>
    <row r="204" spans="1:19" s="1" customFormat="1" ht="12.75">
      <c r="A204" s="395">
        <v>316140</v>
      </c>
      <c r="B204" s="408" t="s">
        <v>8</v>
      </c>
      <c r="C204" s="397"/>
      <c r="D204" s="436"/>
      <c r="E204" s="436"/>
      <c r="F204" s="418"/>
      <c r="G204" s="544">
        <f t="shared" si="23"/>
        <v>0</v>
      </c>
      <c r="H204" s="414"/>
      <c r="I204" s="540"/>
      <c r="J204" s="540"/>
      <c r="K204" s="403"/>
      <c r="L204" s="541">
        <f t="shared" si="21"/>
      </c>
      <c r="M204" s="542"/>
      <c r="N204" s="544">
        <v>0</v>
      </c>
      <c r="O204" s="542"/>
      <c r="P204" s="545">
        <f>BOKFØRT!C204</f>
        <v>0</v>
      </c>
      <c r="Q204" s="583">
        <f t="shared" si="22"/>
        <v>0</v>
      </c>
      <c r="R204" s="199"/>
      <c r="S204" s="199"/>
    </row>
    <row r="205" spans="1:19" s="1" customFormat="1" ht="12.75">
      <c r="A205" s="395">
        <v>316141</v>
      </c>
      <c r="B205" s="408" t="s">
        <v>9</v>
      </c>
      <c r="C205" s="397"/>
      <c r="D205" s="436"/>
      <c r="E205" s="436"/>
      <c r="F205" s="418"/>
      <c r="G205" s="544">
        <f t="shared" si="23"/>
        <v>0</v>
      </c>
      <c r="H205" s="414"/>
      <c r="I205" s="540"/>
      <c r="J205" s="540"/>
      <c r="K205" s="403"/>
      <c r="L205" s="541">
        <f t="shared" si="21"/>
      </c>
      <c r="M205" s="542"/>
      <c r="N205" s="544">
        <v>0</v>
      </c>
      <c r="O205" s="542"/>
      <c r="P205" s="545">
        <f>BOKFØRT!C205</f>
        <v>0</v>
      </c>
      <c r="Q205" s="583">
        <f t="shared" si="22"/>
        <v>0</v>
      </c>
      <c r="R205" s="199"/>
      <c r="S205" s="199"/>
    </row>
    <row r="206" spans="1:19" s="1" customFormat="1" ht="12.75">
      <c r="A206" s="395">
        <v>316142</v>
      </c>
      <c r="B206" s="408" t="s">
        <v>10</v>
      </c>
      <c r="C206" s="397"/>
      <c r="D206" s="436"/>
      <c r="E206" s="436"/>
      <c r="F206" s="418"/>
      <c r="G206" s="544">
        <f t="shared" si="23"/>
        <v>0</v>
      </c>
      <c r="H206" s="414"/>
      <c r="I206" s="540"/>
      <c r="J206" s="540"/>
      <c r="K206" s="403"/>
      <c r="L206" s="541">
        <f t="shared" si="21"/>
      </c>
      <c r="M206" s="542"/>
      <c r="N206" s="544">
        <v>0</v>
      </c>
      <c r="O206" s="542"/>
      <c r="P206" s="545">
        <f>BOKFØRT!C206</f>
        <v>0</v>
      </c>
      <c r="Q206" s="583">
        <f t="shared" si="22"/>
        <v>0</v>
      </c>
      <c r="R206" s="199"/>
      <c r="S206" s="199"/>
    </row>
    <row r="207" spans="1:19" s="1" customFormat="1" ht="12.75">
      <c r="A207" s="395">
        <v>319010</v>
      </c>
      <c r="B207" s="408" t="s">
        <v>556</v>
      </c>
      <c r="C207" s="397"/>
      <c r="D207" s="436"/>
      <c r="E207" s="436"/>
      <c r="F207" s="418"/>
      <c r="G207" s="544">
        <f t="shared" si="23"/>
        <v>0</v>
      </c>
      <c r="H207" s="414"/>
      <c r="I207" s="540"/>
      <c r="J207" s="540"/>
      <c r="K207" s="403"/>
      <c r="L207" s="541">
        <f t="shared" si="21"/>
      </c>
      <c r="M207" s="542"/>
      <c r="N207" s="544">
        <v>0</v>
      </c>
      <c r="O207" s="542"/>
      <c r="P207" s="545">
        <f>BOKFØRT!C207</f>
        <v>0</v>
      </c>
      <c r="Q207" s="583">
        <f t="shared" si="22"/>
        <v>0</v>
      </c>
      <c r="R207" s="199"/>
      <c r="S207" s="199"/>
    </row>
    <row r="208" spans="1:19" s="1" customFormat="1" ht="12.75">
      <c r="A208" s="395">
        <v>319011</v>
      </c>
      <c r="B208" s="408" t="s">
        <v>11</v>
      </c>
      <c r="C208" s="397"/>
      <c r="D208" s="436"/>
      <c r="E208" s="436"/>
      <c r="F208" s="418"/>
      <c r="G208" s="544">
        <f t="shared" si="23"/>
        <v>0</v>
      </c>
      <c r="H208" s="414"/>
      <c r="I208" s="540"/>
      <c r="J208" s="540"/>
      <c r="K208" s="403"/>
      <c r="L208" s="541">
        <f t="shared" si="21"/>
      </c>
      <c r="M208" s="542"/>
      <c r="N208" s="544">
        <v>0</v>
      </c>
      <c r="O208" s="542"/>
      <c r="P208" s="545">
        <f>BOKFØRT!C208</f>
        <v>0</v>
      </c>
      <c r="Q208" s="583">
        <f t="shared" si="22"/>
        <v>0</v>
      </c>
      <c r="R208" s="199"/>
      <c r="S208" s="199"/>
    </row>
    <row r="209" spans="1:19" s="1" customFormat="1" ht="12.75">
      <c r="A209" s="395">
        <v>319013</v>
      </c>
      <c r="B209" s="408" t="s">
        <v>647</v>
      </c>
      <c r="C209" s="397"/>
      <c r="D209" s="436"/>
      <c r="E209" s="436"/>
      <c r="F209" s="418"/>
      <c r="G209" s="544">
        <f t="shared" si="23"/>
        <v>0</v>
      </c>
      <c r="H209" s="414"/>
      <c r="I209" s="540"/>
      <c r="J209" s="540"/>
      <c r="K209" s="403"/>
      <c r="L209" s="541">
        <f t="shared" si="21"/>
      </c>
      <c r="M209" s="542"/>
      <c r="N209" s="544">
        <v>0</v>
      </c>
      <c r="O209" s="542"/>
      <c r="P209" s="545">
        <f>BOKFØRT!C209</f>
        <v>0</v>
      </c>
      <c r="Q209" s="583">
        <f t="shared" si="22"/>
        <v>0</v>
      </c>
      <c r="R209" s="199"/>
      <c r="S209" s="199"/>
    </row>
    <row r="210" spans="1:19" s="1" customFormat="1" ht="12.75">
      <c r="A210" s="395">
        <v>319019</v>
      </c>
      <c r="B210" s="408" t="s">
        <v>12</v>
      </c>
      <c r="C210" s="397"/>
      <c r="D210" s="436"/>
      <c r="E210" s="436"/>
      <c r="F210" s="418"/>
      <c r="G210" s="544">
        <f t="shared" si="23"/>
        <v>0</v>
      </c>
      <c r="H210" s="414"/>
      <c r="I210" s="540"/>
      <c r="J210" s="540"/>
      <c r="K210" s="403"/>
      <c r="L210" s="541">
        <f t="shared" si="21"/>
      </c>
      <c r="M210" s="542"/>
      <c r="N210" s="544">
        <v>0</v>
      </c>
      <c r="O210" s="542"/>
      <c r="P210" s="545">
        <f>BOKFØRT!C210</f>
        <v>0</v>
      </c>
      <c r="Q210" s="583">
        <f t="shared" si="22"/>
        <v>0</v>
      </c>
      <c r="R210" s="199"/>
      <c r="S210" s="199"/>
    </row>
    <row r="211" spans="1:19" s="1" customFormat="1" ht="12.75">
      <c r="A211" s="395">
        <v>319020</v>
      </c>
      <c r="B211" s="408" t="s">
        <v>13</v>
      </c>
      <c r="C211" s="397"/>
      <c r="D211" s="436"/>
      <c r="E211" s="436"/>
      <c r="F211" s="418"/>
      <c r="G211" s="544">
        <f t="shared" si="23"/>
        <v>0</v>
      </c>
      <c r="H211" s="414"/>
      <c r="I211" s="540"/>
      <c r="J211" s="540"/>
      <c r="K211" s="403"/>
      <c r="L211" s="541">
        <f t="shared" si="21"/>
      </c>
      <c r="M211" s="542"/>
      <c r="N211" s="544">
        <v>0</v>
      </c>
      <c r="O211" s="542"/>
      <c r="P211" s="545">
        <f>BOKFØRT!C211</f>
        <v>0</v>
      </c>
      <c r="Q211" s="583">
        <f t="shared" si="22"/>
        <v>0</v>
      </c>
      <c r="R211" s="199"/>
      <c r="S211" s="199"/>
    </row>
    <row r="212" spans="1:19" s="1" customFormat="1" ht="12.75">
      <c r="A212" s="395">
        <v>319021</v>
      </c>
      <c r="B212" s="408" t="s">
        <v>14</v>
      </c>
      <c r="C212" s="397"/>
      <c r="D212" s="436"/>
      <c r="E212" s="436"/>
      <c r="F212" s="418"/>
      <c r="G212" s="544">
        <f t="shared" si="23"/>
        <v>0</v>
      </c>
      <c r="H212" s="414"/>
      <c r="I212" s="540"/>
      <c r="J212" s="540"/>
      <c r="K212" s="403"/>
      <c r="L212" s="541">
        <f t="shared" si="21"/>
      </c>
      <c r="M212" s="542"/>
      <c r="N212" s="544">
        <v>0</v>
      </c>
      <c r="O212" s="542"/>
      <c r="P212" s="545">
        <f>BOKFØRT!C212</f>
        <v>0</v>
      </c>
      <c r="Q212" s="583">
        <f t="shared" si="22"/>
        <v>0</v>
      </c>
      <c r="R212" s="199"/>
      <c r="S212" s="199"/>
    </row>
    <row r="213" spans="1:19" s="1" customFormat="1" ht="12.75">
      <c r="A213" s="395">
        <v>319022</v>
      </c>
      <c r="B213" s="408" t="s">
        <v>558</v>
      </c>
      <c r="C213" s="397"/>
      <c r="D213" s="436"/>
      <c r="E213" s="436"/>
      <c r="F213" s="418"/>
      <c r="G213" s="544">
        <f t="shared" si="23"/>
        <v>0</v>
      </c>
      <c r="H213" s="414"/>
      <c r="I213" s="540"/>
      <c r="J213" s="540"/>
      <c r="K213" s="403"/>
      <c r="L213" s="541">
        <f t="shared" si="21"/>
      </c>
      <c r="M213" s="542"/>
      <c r="N213" s="544">
        <v>0</v>
      </c>
      <c r="O213" s="542"/>
      <c r="P213" s="545">
        <f>BOKFØRT!C213</f>
        <v>0</v>
      </c>
      <c r="Q213" s="583">
        <f t="shared" si="22"/>
        <v>0</v>
      </c>
      <c r="R213" s="199"/>
      <c r="S213" s="199"/>
    </row>
    <row r="214" spans="1:19" s="1" customFormat="1" ht="12.75">
      <c r="A214" s="395">
        <v>319023</v>
      </c>
      <c r="B214" s="408" t="s">
        <v>559</v>
      </c>
      <c r="C214" s="397"/>
      <c r="D214" s="436"/>
      <c r="E214" s="436"/>
      <c r="F214" s="418"/>
      <c r="G214" s="544">
        <f t="shared" si="23"/>
        <v>0</v>
      </c>
      <c r="H214" s="414"/>
      <c r="I214" s="540"/>
      <c r="J214" s="540"/>
      <c r="K214" s="403"/>
      <c r="L214" s="541">
        <f t="shared" si="21"/>
      </c>
      <c r="M214" s="542"/>
      <c r="N214" s="544">
        <v>0</v>
      </c>
      <c r="O214" s="542"/>
      <c r="P214" s="545">
        <f>BOKFØRT!C214</f>
        <v>0</v>
      </c>
      <c r="Q214" s="583">
        <f t="shared" si="22"/>
        <v>0</v>
      </c>
      <c r="R214" s="199"/>
      <c r="S214" s="199"/>
    </row>
    <row r="215" spans="1:19" s="1" customFormat="1" ht="12.75">
      <c r="A215" s="395">
        <v>319025</v>
      </c>
      <c r="B215" s="408" t="s">
        <v>560</v>
      </c>
      <c r="C215" s="397"/>
      <c r="D215" s="436"/>
      <c r="E215" s="436"/>
      <c r="F215" s="418"/>
      <c r="G215" s="544">
        <f t="shared" si="23"/>
        <v>0</v>
      </c>
      <c r="H215" s="414"/>
      <c r="I215" s="540"/>
      <c r="J215" s="540"/>
      <c r="K215" s="403"/>
      <c r="L215" s="541">
        <f t="shared" si="21"/>
      </c>
      <c r="M215" s="542"/>
      <c r="N215" s="544">
        <v>0</v>
      </c>
      <c r="O215" s="542"/>
      <c r="P215" s="545">
        <f>BOKFØRT!C215</f>
        <v>0</v>
      </c>
      <c r="Q215" s="583">
        <f t="shared" si="22"/>
        <v>0</v>
      </c>
      <c r="R215" s="199"/>
      <c r="S215" s="199"/>
    </row>
    <row r="216" spans="1:19" s="1" customFormat="1" ht="12.75">
      <c r="A216" s="395">
        <v>319027</v>
      </c>
      <c r="B216" s="408" t="s">
        <v>15</v>
      </c>
      <c r="C216" s="397"/>
      <c r="D216" s="436"/>
      <c r="E216" s="436"/>
      <c r="F216" s="418"/>
      <c r="G216" s="544">
        <f t="shared" si="23"/>
        <v>0</v>
      </c>
      <c r="H216" s="414"/>
      <c r="I216" s="540"/>
      <c r="J216" s="540"/>
      <c r="K216" s="403"/>
      <c r="L216" s="541">
        <f t="shared" si="21"/>
      </c>
      <c r="M216" s="542"/>
      <c r="N216" s="544">
        <v>0</v>
      </c>
      <c r="O216" s="542"/>
      <c r="P216" s="545">
        <f>BOKFØRT!C216</f>
        <v>0</v>
      </c>
      <c r="Q216" s="583">
        <f t="shared" si="22"/>
        <v>0</v>
      </c>
      <c r="R216" s="199"/>
      <c r="S216" s="199"/>
    </row>
    <row r="217" spans="1:19" s="1" customFormat="1" ht="12.75">
      <c r="A217" s="395">
        <v>319029</v>
      </c>
      <c r="B217" s="408" t="s">
        <v>561</v>
      </c>
      <c r="C217" s="397"/>
      <c r="D217" s="436"/>
      <c r="E217" s="436"/>
      <c r="F217" s="418"/>
      <c r="G217" s="544">
        <f t="shared" si="23"/>
        <v>0</v>
      </c>
      <c r="H217" s="414"/>
      <c r="I217" s="540"/>
      <c r="J217" s="540"/>
      <c r="K217" s="403"/>
      <c r="L217" s="541">
        <f t="shared" si="21"/>
      </c>
      <c r="M217" s="542"/>
      <c r="N217" s="544">
        <v>0</v>
      </c>
      <c r="O217" s="542"/>
      <c r="P217" s="545">
        <f>BOKFØRT!C217</f>
        <v>0</v>
      </c>
      <c r="Q217" s="583">
        <f t="shared" si="22"/>
        <v>0</v>
      </c>
      <c r="R217" s="199"/>
      <c r="S217" s="199"/>
    </row>
    <row r="218" spans="1:19" s="1" customFormat="1" ht="12.75">
      <c r="A218" s="395">
        <v>319030</v>
      </c>
      <c r="B218" s="408" t="s">
        <v>594</v>
      </c>
      <c r="C218" s="397"/>
      <c r="D218" s="436"/>
      <c r="E218" s="436"/>
      <c r="F218" s="418"/>
      <c r="G218" s="544">
        <f t="shared" si="23"/>
        <v>0</v>
      </c>
      <c r="H218" s="414"/>
      <c r="I218" s="540"/>
      <c r="J218" s="540"/>
      <c r="K218" s="403"/>
      <c r="L218" s="541">
        <f t="shared" si="21"/>
      </c>
      <c r="M218" s="542"/>
      <c r="N218" s="544">
        <v>0</v>
      </c>
      <c r="O218" s="542"/>
      <c r="P218" s="545">
        <f>BOKFØRT!C218</f>
        <v>0</v>
      </c>
      <c r="Q218" s="583">
        <f t="shared" si="22"/>
        <v>0</v>
      </c>
      <c r="R218" s="199"/>
      <c r="S218" s="199"/>
    </row>
    <row r="219" spans="1:19" s="1" customFormat="1" ht="12.75">
      <c r="A219" s="395">
        <v>319031</v>
      </c>
      <c r="B219" s="408" t="s">
        <v>765</v>
      </c>
      <c r="C219" s="397"/>
      <c r="D219" s="436"/>
      <c r="E219" s="436"/>
      <c r="F219" s="418"/>
      <c r="G219" s="544">
        <f t="shared" si="23"/>
        <v>0</v>
      </c>
      <c r="H219" s="414"/>
      <c r="I219" s="540"/>
      <c r="J219" s="540"/>
      <c r="K219" s="403"/>
      <c r="L219" s="541">
        <f aca="true" t="shared" si="24" ref="L219:L235">IF(FMVAE&lt;&gt;"",(Sum*mva)-Sum,"")</f>
      </c>
      <c r="M219" s="542"/>
      <c r="N219" s="544">
        <v>0</v>
      </c>
      <c r="O219" s="542"/>
      <c r="P219" s="545">
        <f>BOKFØRT!C219</f>
        <v>0</v>
      </c>
      <c r="Q219" s="583">
        <f aca="true" t="shared" si="25" ref="Q219:Q237">G219+N219+P219</f>
        <v>0</v>
      </c>
      <c r="R219" s="199"/>
      <c r="S219" s="199"/>
    </row>
    <row r="220" spans="1:19" s="1" customFormat="1" ht="12.75">
      <c r="A220" s="395">
        <v>319032</v>
      </c>
      <c r="B220" s="408" t="s">
        <v>16</v>
      </c>
      <c r="C220" s="397"/>
      <c r="D220" s="436"/>
      <c r="E220" s="436"/>
      <c r="F220" s="418"/>
      <c r="G220" s="544">
        <f t="shared" si="23"/>
        <v>0</v>
      </c>
      <c r="H220" s="414"/>
      <c r="I220" s="540"/>
      <c r="J220" s="540"/>
      <c r="K220" s="403"/>
      <c r="L220" s="541">
        <f t="shared" si="24"/>
      </c>
      <c r="M220" s="542"/>
      <c r="N220" s="544">
        <v>0</v>
      </c>
      <c r="O220" s="542"/>
      <c r="P220" s="545">
        <f>BOKFØRT!C220</f>
        <v>0</v>
      </c>
      <c r="Q220" s="583">
        <f t="shared" si="25"/>
        <v>0</v>
      </c>
      <c r="R220" s="199"/>
      <c r="S220" s="199"/>
    </row>
    <row r="221" spans="1:19" s="1" customFormat="1" ht="12.75">
      <c r="A221" s="395">
        <v>319033</v>
      </c>
      <c r="B221" s="408" t="s">
        <v>766</v>
      </c>
      <c r="C221" s="397"/>
      <c r="D221" s="436"/>
      <c r="E221" s="436"/>
      <c r="F221" s="418"/>
      <c r="G221" s="544">
        <f t="shared" si="23"/>
        <v>0</v>
      </c>
      <c r="H221" s="414"/>
      <c r="I221" s="540"/>
      <c r="J221" s="540"/>
      <c r="K221" s="403"/>
      <c r="L221" s="541">
        <f t="shared" si="24"/>
      </c>
      <c r="M221" s="542"/>
      <c r="N221" s="544">
        <v>0</v>
      </c>
      <c r="O221" s="542"/>
      <c r="P221" s="545">
        <f>BOKFØRT!C221</f>
        <v>0</v>
      </c>
      <c r="Q221" s="583">
        <f>G221+N221+P221</f>
        <v>0</v>
      </c>
      <c r="R221" s="199"/>
      <c r="S221" s="199"/>
    </row>
    <row r="222" spans="1:19" s="1" customFormat="1" ht="12.75">
      <c r="A222" s="395">
        <v>319040</v>
      </c>
      <c r="B222" s="408" t="s">
        <v>769</v>
      </c>
      <c r="C222" s="397"/>
      <c r="D222" s="436"/>
      <c r="E222" s="436"/>
      <c r="F222" s="418"/>
      <c r="G222" s="544">
        <f t="shared" si="23"/>
        <v>0</v>
      </c>
      <c r="H222" s="414"/>
      <c r="I222" s="540"/>
      <c r="J222" s="540"/>
      <c r="K222" s="403"/>
      <c r="L222" s="541">
        <f t="shared" si="24"/>
      </c>
      <c r="M222" s="542"/>
      <c r="N222" s="544">
        <v>0</v>
      </c>
      <c r="O222" s="542"/>
      <c r="P222" s="545">
        <f>BOKFØRT!C222</f>
        <v>0</v>
      </c>
      <c r="Q222" s="583">
        <f t="shared" si="25"/>
        <v>0</v>
      </c>
      <c r="R222" s="199"/>
      <c r="S222" s="199"/>
    </row>
    <row r="223" spans="1:19" s="1" customFormat="1" ht="12.75">
      <c r="A223" s="395">
        <v>319050</v>
      </c>
      <c r="B223" s="408" t="s">
        <v>17</v>
      </c>
      <c r="C223" s="397"/>
      <c r="D223" s="436"/>
      <c r="E223" s="436"/>
      <c r="F223" s="418"/>
      <c r="G223" s="544">
        <f t="shared" si="23"/>
        <v>0</v>
      </c>
      <c r="H223" s="414"/>
      <c r="I223" s="540"/>
      <c r="J223" s="540"/>
      <c r="K223" s="403"/>
      <c r="L223" s="541">
        <f t="shared" si="24"/>
      </c>
      <c r="M223" s="542"/>
      <c r="N223" s="544">
        <v>0</v>
      </c>
      <c r="O223" s="542"/>
      <c r="P223" s="545">
        <f>BOKFØRT!C223</f>
        <v>0</v>
      </c>
      <c r="Q223" s="583">
        <f t="shared" si="25"/>
        <v>0</v>
      </c>
      <c r="R223" s="199"/>
      <c r="S223" s="199"/>
    </row>
    <row r="224" spans="1:19" s="1" customFormat="1" ht="12.75">
      <c r="A224" s="395">
        <v>319055</v>
      </c>
      <c r="B224" s="408" t="s">
        <v>18</v>
      </c>
      <c r="C224" s="397"/>
      <c r="D224" s="436"/>
      <c r="E224" s="436"/>
      <c r="F224" s="418"/>
      <c r="G224" s="544">
        <f t="shared" si="23"/>
        <v>0</v>
      </c>
      <c r="H224" s="414"/>
      <c r="I224" s="540"/>
      <c r="J224" s="540"/>
      <c r="K224" s="403"/>
      <c r="L224" s="541">
        <f t="shared" si="24"/>
      </c>
      <c r="M224" s="542"/>
      <c r="N224" s="544">
        <v>0</v>
      </c>
      <c r="O224" s="542"/>
      <c r="P224" s="545">
        <f>BOKFØRT!C224</f>
        <v>0</v>
      </c>
      <c r="Q224" s="583">
        <f t="shared" si="25"/>
        <v>0</v>
      </c>
      <c r="R224" s="199"/>
      <c r="S224" s="199"/>
    </row>
    <row r="225" spans="1:19" s="1" customFormat="1" ht="12.75">
      <c r="A225" s="395">
        <v>319056</v>
      </c>
      <c r="B225" s="408" t="s">
        <v>19</v>
      </c>
      <c r="C225" s="397"/>
      <c r="D225" s="436"/>
      <c r="E225" s="436"/>
      <c r="F225" s="418"/>
      <c r="G225" s="544">
        <f t="shared" si="23"/>
        <v>0</v>
      </c>
      <c r="H225" s="414"/>
      <c r="I225" s="540"/>
      <c r="J225" s="540"/>
      <c r="K225" s="403"/>
      <c r="L225" s="541">
        <f t="shared" si="24"/>
      </c>
      <c r="M225" s="542"/>
      <c r="N225" s="544">
        <v>0</v>
      </c>
      <c r="O225" s="542"/>
      <c r="P225" s="545">
        <f>BOKFØRT!C225</f>
        <v>0</v>
      </c>
      <c r="Q225" s="583">
        <f t="shared" si="25"/>
        <v>0</v>
      </c>
      <c r="R225" s="199"/>
      <c r="S225" s="199"/>
    </row>
    <row r="226" spans="1:19" s="1" customFormat="1" ht="12.75">
      <c r="A226" s="395">
        <v>319057</v>
      </c>
      <c r="B226" s="408" t="s">
        <v>20</v>
      </c>
      <c r="C226" s="397"/>
      <c r="D226" s="436"/>
      <c r="E226" s="436"/>
      <c r="F226" s="418"/>
      <c r="G226" s="544">
        <f t="shared" si="23"/>
        <v>0</v>
      </c>
      <c r="H226" s="414"/>
      <c r="I226" s="540"/>
      <c r="J226" s="540"/>
      <c r="K226" s="403"/>
      <c r="L226" s="541">
        <f t="shared" si="24"/>
      </c>
      <c r="M226" s="542"/>
      <c r="N226" s="544">
        <v>0</v>
      </c>
      <c r="O226" s="542"/>
      <c r="P226" s="545">
        <f>BOKFØRT!C226</f>
        <v>0</v>
      </c>
      <c r="Q226" s="583">
        <f t="shared" si="25"/>
        <v>0</v>
      </c>
      <c r="R226" s="199"/>
      <c r="S226" s="199"/>
    </row>
    <row r="227" spans="1:19" s="1" customFormat="1" ht="12.75">
      <c r="A227" s="395">
        <v>319060</v>
      </c>
      <c r="B227" s="408" t="s">
        <v>562</v>
      </c>
      <c r="C227" s="397"/>
      <c r="D227" s="436"/>
      <c r="E227" s="436"/>
      <c r="F227" s="418"/>
      <c r="G227" s="544">
        <f t="shared" si="23"/>
        <v>0</v>
      </c>
      <c r="H227" s="414"/>
      <c r="I227" s="540"/>
      <c r="J227" s="540"/>
      <c r="K227" s="403"/>
      <c r="L227" s="541">
        <f t="shared" si="24"/>
      </c>
      <c r="M227" s="542"/>
      <c r="N227" s="544">
        <v>0</v>
      </c>
      <c r="O227" s="542"/>
      <c r="P227" s="545">
        <f>BOKFØRT!C227</f>
        <v>0</v>
      </c>
      <c r="Q227" s="583">
        <f t="shared" si="25"/>
        <v>0</v>
      </c>
      <c r="R227" s="199"/>
      <c r="S227" s="199"/>
    </row>
    <row r="228" spans="1:19" s="1" customFormat="1" ht="12.75">
      <c r="A228" s="395">
        <v>319061</v>
      </c>
      <c r="B228" s="408" t="s">
        <v>563</v>
      </c>
      <c r="C228" s="397"/>
      <c r="D228" s="436"/>
      <c r="E228" s="436"/>
      <c r="F228" s="418"/>
      <c r="G228" s="544">
        <f t="shared" si="23"/>
        <v>0</v>
      </c>
      <c r="H228" s="414"/>
      <c r="I228" s="540"/>
      <c r="J228" s="540"/>
      <c r="K228" s="403"/>
      <c r="L228" s="541">
        <f t="shared" si="24"/>
      </c>
      <c r="M228" s="542"/>
      <c r="N228" s="544">
        <v>0</v>
      </c>
      <c r="O228" s="542"/>
      <c r="P228" s="545">
        <f>BOKFØRT!C228</f>
        <v>0</v>
      </c>
      <c r="Q228" s="583">
        <f t="shared" si="25"/>
        <v>0</v>
      </c>
      <c r="R228" s="199"/>
      <c r="S228" s="199"/>
    </row>
    <row r="229" spans="1:19" s="1" customFormat="1" ht="12.75">
      <c r="A229" s="395">
        <v>319063</v>
      </c>
      <c r="B229" s="408" t="s">
        <v>610</v>
      </c>
      <c r="C229" s="397"/>
      <c r="D229" s="436"/>
      <c r="E229" s="436"/>
      <c r="F229" s="418"/>
      <c r="G229" s="544">
        <f t="shared" si="23"/>
        <v>0</v>
      </c>
      <c r="H229" s="414"/>
      <c r="I229" s="540"/>
      <c r="J229" s="540"/>
      <c r="K229" s="403"/>
      <c r="L229" s="541">
        <f t="shared" si="24"/>
      </c>
      <c r="M229" s="542"/>
      <c r="N229" s="544">
        <v>0</v>
      </c>
      <c r="O229" s="542"/>
      <c r="P229" s="545">
        <f>BOKFØRT!C229</f>
        <v>0</v>
      </c>
      <c r="Q229" s="583">
        <f t="shared" si="25"/>
        <v>0</v>
      </c>
      <c r="R229" s="199"/>
      <c r="S229" s="199"/>
    </row>
    <row r="230" spans="1:19" s="1" customFormat="1" ht="12.75">
      <c r="A230" s="395">
        <v>319064</v>
      </c>
      <c r="B230" s="408" t="s">
        <v>21</v>
      </c>
      <c r="C230" s="397"/>
      <c r="D230" s="436"/>
      <c r="E230" s="436"/>
      <c r="F230" s="418"/>
      <c r="G230" s="544">
        <f t="shared" si="23"/>
        <v>0</v>
      </c>
      <c r="H230" s="414"/>
      <c r="I230" s="540"/>
      <c r="J230" s="540"/>
      <c r="K230" s="403"/>
      <c r="L230" s="541">
        <f t="shared" si="24"/>
      </c>
      <c r="M230" s="542"/>
      <c r="N230" s="544">
        <v>0</v>
      </c>
      <c r="O230" s="542"/>
      <c r="P230" s="545">
        <f>BOKFØRT!C230</f>
        <v>0</v>
      </c>
      <c r="Q230" s="583">
        <f t="shared" si="25"/>
        <v>0</v>
      </c>
      <c r="R230" s="199"/>
      <c r="S230" s="199"/>
    </row>
    <row r="231" spans="1:19" s="1" customFormat="1" ht="12.75">
      <c r="A231" s="395">
        <v>319069</v>
      </c>
      <c r="B231" s="408" t="s">
        <v>564</v>
      </c>
      <c r="C231" s="397" t="s">
        <v>416</v>
      </c>
      <c r="D231" s="436"/>
      <c r="E231" s="436"/>
      <c r="F231" s="418"/>
      <c r="G231" s="544">
        <f t="shared" si="23"/>
        <v>0</v>
      </c>
      <c r="H231" s="414"/>
      <c r="I231" s="540"/>
      <c r="J231" s="540"/>
      <c r="K231" s="403"/>
      <c r="L231" s="541">
        <f t="shared" si="24"/>
      </c>
      <c r="M231" s="542"/>
      <c r="N231" s="544">
        <v>0</v>
      </c>
      <c r="O231" s="542"/>
      <c r="P231" s="545">
        <f>BOKFØRT!C231</f>
        <v>0</v>
      </c>
      <c r="Q231" s="583">
        <f t="shared" si="25"/>
        <v>0</v>
      </c>
      <c r="R231" s="199"/>
      <c r="S231" s="199"/>
    </row>
    <row r="232" spans="1:19" s="1" customFormat="1" ht="12.75">
      <c r="A232" s="395">
        <v>319074</v>
      </c>
      <c r="B232" s="408" t="s">
        <v>23</v>
      </c>
      <c r="C232" s="397"/>
      <c r="D232" s="436"/>
      <c r="E232" s="436"/>
      <c r="F232" s="418"/>
      <c r="G232" s="544">
        <f t="shared" si="23"/>
        <v>0</v>
      </c>
      <c r="H232" s="414"/>
      <c r="I232" s="540"/>
      <c r="J232" s="540"/>
      <c r="K232" s="403"/>
      <c r="L232" s="541">
        <f t="shared" si="24"/>
      </c>
      <c r="M232" s="542"/>
      <c r="N232" s="544">
        <v>0</v>
      </c>
      <c r="O232" s="542"/>
      <c r="P232" s="545">
        <f>BOKFØRT!C232</f>
        <v>0</v>
      </c>
      <c r="Q232" s="583">
        <f t="shared" si="25"/>
        <v>0</v>
      </c>
      <c r="R232" s="199"/>
      <c r="S232" s="199"/>
    </row>
    <row r="233" spans="1:19" s="1" customFormat="1" ht="12.75">
      <c r="A233" s="395">
        <v>319075</v>
      </c>
      <c r="B233" s="408" t="s">
        <v>24</v>
      </c>
      <c r="C233" s="397"/>
      <c r="D233" s="436"/>
      <c r="E233" s="436"/>
      <c r="F233" s="418"/>
      <c r="G233" s="544">
        <f t="shared" si="23"/>
        <v>0</v>
      </c>
      <c r="H233" s="414"/>
      <c r="I233" s="540"/>
      <c r="J233" s="540"/>
      <c r="K233" s="403"/>
      <c r="L233" s="541">
        <f t="shared" si="24"/>
      </c>
      <c r="M233" s="542"/>
      <c r="N233" s="544">
        <v>0</v>
      </c>
      <c r="O233" s="542"/>
      <c r="P233" s="545">
        <f>BOKFØRT!C233</f>
        <v>0</v>
      </c>
      <c r="Q233" s="583">
        <f t="shared" si="25"/>
        <v>0</v>
      </c>
      <c r="R233" s="199"/>
      <c r="S233" s="199"/>
    </row>
    <row r="234" spans="1:19" s="1" customFormat="1" ht="12.75">
      <c r="A234" s="395">
        <v>319077</v>
      </c>
      <c r="B234" s="408" t="s">
        <v>598</v>
      </c>
      <c r="C234" s="397"/>
      <c r="D234" s="436"/>
      <c r="E234" s="436"/>
      <c r="F234" s="418"/>
      <c r="G234" s="544">
        <f t="shared" si="23"/>
        <v>0</v>
      </c>
      <c r="H234" s="414"/>
      <c r="I234" s="540"/>
      <c r="J234" s="540"/>
      <c r="K234" s="403"/>
      <c r="L234" s="541">
        <f t="shared" si="24"/>
      </c>
      <c r="M234" s="542"/>
      <c r="N234" s="544">
        <v>0</v>
      </c>
      <c r="O234" s="542"/>
      <c r="P234" s="545">
        <f>BOKFØRT!C234</f>
        <v>0</v>
      </c>
      <c r="Q234" s="583">
        <f t="shared" si="25"/>
        <v>0</v>
      </c>
      <c r="R234" s="199"/>
      <c r="S234" s="199"/>
    </row>
    <row r="235" spans="1:19" s="1" customFormat="1" ht="12.75">
      <c r="A235" s="395">
        <v>319078</v>
      </c>
      <c r="B235" s="420" t="s">
        <v>568</v>
      </c>
      <c r="C235" s="421"/>
      <c r="D235" s="422"/>
      <c r="E235" s="422"/>
      <c r="F235" s="423"/>
      <c r="G235" s="548">
        <f t="shared" si="23"/>
        <v>0</v>
      </c>
      <c r="H235" s="414"/>
      <c r="I235" s="540"/>
      <c r="J235" s="540"/>
      <c r="K235" s="403"/>
      <c r="L235" s="541">
        <f t="shared" si="24"/>
      </c>
      <c r="M235" s="542"/>
      <c r="N235" s="548">
        <v>0</v>
      </c>
      <c r="O235" s="542"/>
      <c r="P235" s="550">
        <f>BOKFØRT!C235</f>
        <v>0</v>
      </c>
      <c r="Q235" s="583">
        <f t="shared" si="25"/>
        <v>0</v>
      </c>
      <c r="R235" s="199"/>
      <c r="S235" s="199"/>
    </row>
    <row r="236" spans="1:19" s="1" customFormat="1" ht="13.5" thickBot="1">
      <c r="A236" s="445" t="s">
        <v>401</v>
      </c>
      <c r="B236" s="426"/>
      <c r="C236" s="451"/>
      <c r="D236" s="433"/>
      <c r="E236" s="434"/>
      <c r="F236" s="448" t="s">
        <v>570</v>
      </c>
      <c r="G236" s="558">
        <f>SUM(G154:G235)</f>
        <v>0</v>
      </c>
      <c r="H236" s="414"/>
      <c r="I236" s="555"/>
      <c r="J236" s="555"/>
      <c r="K236" s="394"/>
      <c r="L236" s="558">
        <f>SUM(L154:L235)</f>
        <v>0</v>
      </c>
      <c r="M236" s="542"/>
      <c r="N236" s="558">
        <v>0</v>
      </c>
      <c r="O236" s="542"/>
      <c r="P236" s="559"/>
      <c r="Q236" s="583">
        <f t="shared" si="25"/>
        <v>0</v>
      </c>
      <c r="R236" s="199"/>
      <c r="S236" s="199"/>
    </row>
    <row r="237" spans="1:19" s="1" customFormat="1" ht="0.75" customHeight="1" thickTop="1">
      <c r="A237" s="431"/>
      <c r="B237" s="432"/>
      <c r="C237" s="427"/>
      <c r="D237" s="433"/>
      <c r="E237" s="434"/>
      <c r="F237" s="433"/>
      <c r="G237" s="555"/>
      <c r="H237" s="401"/>
      <c r="I237" s="540"/>
      <c r="J237" s="540"/>
      <c r="K237" s="394"/>
      <c r="L237" s="555"/>
      <c r="M237" s="542"/>
      <c r="N237" s="555"/>
      <c r="O237" s="542"/>
      <c r="P237" s="565"/>
      <c r="Q237" s="583">
        <f t="shared" si="25"/>
        <v>0</v>
      </c>
      <c r="R237" s="199"/>
      <c r="S237" s="199"/>
    </row>
    <row r="238" spans="1:19" s="1" customFormat="1" ht="24.75" customHeight="1" thickTop="1">
      <c r="A238" s="391" t="s">
        <v>520</v>
      </c>
      <c r="B238" s="435"/>
      <c r="C238" s="427"/>
      <c r="D238" s="511" t="s">
        <v>422</v>
      </c>
      <c r="E238" s="512" t="s">
        <v>423</v>
      </c>
      <c r="F238" s="511" t="s">
        <v>424</v>
      </c>
      <c r="G238" s="533" t="s">
        <v>425</v>
      </c>
      <c r="H238" s="511" t="s">
        <v>426</v>
      </c>
      <c r="I238" s="534" t="s">
        <v>427</v>
      </c>
      <c r="J238" s="534"/>
      <c r="K238" s="394"/>
      <c r="L238" s="533" t="s">
        <v>688</v>
      </c>
      <c r="M238" s="536"/>
      <c r="N238" s="533" t="s">
        <v>425</v>
      </c>
      <c r="O238" s="536"/>
      <c r="P238" s="533" t="s">
        <v>677</v>
      </c>
      <c r="Q238" s="583"/>
      <c r="R238" s="199"/>
      <c r="S238" s="199"/>
    </row>
    <row r="239" spans="1:19" s="1" customFormat="1" ht="12.75">
      <c r="A239" s="395">
        <v>321210</v>
      </c>
      <c r="B239" s="408" t="s">
        <v>576</v>
      </c>
      <c r="C239" s="397"/>
      <c r="D239" s="436"/>
      <c r="E239" s="436"/>
      <c r="F239" s="418"/>
      <c r="G239" s="537">
        <f aca="true" t="shared" si="26" ref="G239:G254">IF(X=0,(IF(Me=0,Sa,Me*Sa)),(IF(Me=0,Sa*X,Me*X*Sa)))</f>
        <v>0</v>
      </c>
      <c r="H239" s="538">
        <f aca="true" t="shared" si="27" ref="H239:H254">IF(Sum,Sos,0)</f>
        <v>0</v>
      </c>
      <c r="I239" s="539">
        <f aca="true" t="shared" si="28" ref="I239:I254">IF(Prosent&lt;&gt;0,(Sum*Prosent)/100,0)</f>
        <v>0</v>
      </c>
      <c r="J239" s="540"/>
      <c r="K239" s="403"/>
      <c r="L239" s="541">
        <f aca="true" t="shared" si="29" ref="L239:L261">IF(FMVAE&lt;&gt;"",(Sum*mva)-Sum,"")</f>
      </c>
      <c r="M239" s="542"/>
      <c r="N239" s="537">
        <v>0</v>
      </c>
      <c r="O239" s="542"/>
      <c r="P239" s="543">
        <f>BOKFØRT!C239</f>
        <v>0</v>
      </c>
      <c r="Q239" s="583">
        <f aca="true" t="shared" si="30" ref="Q239:Q263">G239+N239+P239</f>
        <v>0</v>
      </c>
      <c r="R239" s="199"/>
      <c r="S239" s="199"/>
    </row>
    <row r="240" spans="1:19" s="1" customFormat="1" ht="12.75">
      <c r="A240" s="395">
        <v>321212</v>
      </c>
      <c r="B240" s="408" t="s">
        <v>27</v>
      </c>
      <c r="C240" s="397"/>
      <c r="D240" s="436"/>
      <c r="E240" s="436"/>
      <c r="F240" s="418"/>
      <c r="G240" s="544">
        <f t="shared" si="26"/>
        <v>0</v>
      </c>
      <c r="H240" s="538">
        <f t="shared" si="27"/>
        <v>0</v>
      </c>
      <c r="I240" s="539">
        <f t="shared" si="28"/>
        <v>0</v>
      </c>
      <c r="J240" s="540"/>
      <c r="K240" s="403"/>
      <c r="L240" s="541">
        <f t="shared" si="29"/>
      </c>
      <c r="M240" s="542"/>
      <c r="N240" s="544">
        <v>0</v>
      </c>
      <c r="O240" s="542"/>
      <c r="P240" s="545">
        <f>BOKFØRT!C240</f>
        <v>0</v>
      </c>
      <c r="Q240" s="583">
        <f t="shared" si="30"/>
        <v>0</v>
      </c>
      <c r="R240" s="199"/>
      <c r="S240" s="199"/>
    </row>
    <row r="241" spans="1:19" s="1" customFormat="1" ht="12.75">
      <c r="A241" s="395">
        <v>321213</v>
      </c>
      <c r="B241" s="408" t="s">
        <v>28</v>
      </c>
      <c r="C241" s="397"/>
      <c r="D241" s="438"/>
      <c r="E241" s="436"/>
      <c r="F241" s="439">
        <f>IF(D241=0,0,+G240)</f>
        <v>0</v>
      </c>
      <c r="G241" s="544">
        <f t="shared" si="26"/>
        <v>0</v>
      </c>
      <c r="H241" s="538">
        <f t="shared" si="27"/>
        <v>0</v>
      </c>
      <c r="I241" s="539">
        <f t="shared" si="28"/>
        <v>0</v>
      </c>
      <c r="J241" s="540"/>
      <c r="K241" s="403"/>
      <c r="L241" s="541">
        <f t="shared" si="29"/>
      </c>
      <c r="M241" s="542"/>
      <c r="N241" s="544">
        <v>0</v>
      </c>
      <c r="O241" s="542"/>
      <c r="P241" s="545">
        <f>BOKFØRT!C241</f>
        <v>0</v>
      </c>
      <c r="Q241" s="583">
        <f t="shared" si="30"/>
        <v>0</v>
      </c>
      <c r="R241" s="199"/>
      <c r="S241" s="199"/>
    </row>
    <row r="242" spans="1:19" s="1" customFormat="1" ht="12.75">
      <c r="A242" s="395">
        <v>321214</v>
      </c>
      <c r="B242" s="408" t="s">
        <v>577</v>
      </c>
      <c r="C242" s="397"/>
      <c r="D242" s="436"/>
      <c r="E242" s="436"/>
      <c r="F242" s="418"/>
      <c r="G242" s="544">
        <f t="shared" si="26"/>
        <v>0</v>
      </c>
      <c r="H242" s="538">
        <f t="shared" si="27"/>
        <v>0</v>
      </c>
      <c r="I242" s="539">
        <f t="shared" si="28"/>
        <v>0</v>
      </c>
      <c r="J242" s="540"/>
      <c r="K242" s="403"/>
      <c r="L242" s="541">
        <f t="shared" si="29"/>
      </c>
      <c r="M242" s="542"/>
      <c r="N242" s="544">
        <v>0</v>
      </c>
      <c r="O242" s="542"/>
      <c r="P242" s="545">
        <f>BOKFØRT!C242</f>
        <v>0</v>
      </c>
      <c r="Q242" s="583">
        <f t="shared" si="30"/>
        <v>0</v>
      </c>
      <c r="R242" s="199"/>
      <c r="S242" s="199"/>
    </row>
    <row r="243" spans="1:19" s="1" customFormat="1" ht="12.75">
      <c r="A243" s="395">
        <v>321215</v>
      </c>
      <c r="B243" s="408" t="s">
        <v>578</v>
      </c>
      <c r="C243" s="397"/>
      <c r="D243" s="438"/>
      <c r="E243" s="436"/>
      <c r="F243" s="439">
        <f>IF(D243=0,0,+G242)</f>
        <v>0</v>
      </c>
      <c r="G243" s="544">
        <f t="shared" si="26"/>
        <v>0</v>
      </c>
      <c r="H243" s="538">
        <f t="shared" si="27"/>
        <v>0</v>
      </c>
      <c r="I243" s="539">
        <f t="shared" si="28"/>
        <v>0</v>
      </c>
      <c r="J243" s="540"/>
      <c r="K243" s="403"/>
      <c r="L243" s="541">
        <f t="shared" si="29"/>
      </c>
      <c r="M243" s="542"/>
      <c r="N243" s="544">
        <v>0</v>
      </c>
      <c r="O243" s="542"/>
      <c r="P243" s="545">
        <f>BOKFØRT!C243</f>
        <v>0</v>
      </c>
      <c r="Q243" s="583">
        <f t="shared" si="30"/>
        <v>0</v>
      </c>
      <c r="R243" s="199"/>
      <c r="S243" s="199"/>
    </row>
    <row r="244" spans="1:19" s="1" customFormat="1" ht="12.75">
      <c r="A244" s="395">
        <v>321216</v>
      </c>
      <c r="B244" s="408" t="s">
        <v>29</v>
      </c>
      <c r="C244" s="397"/>
      <c r="D244" s="436"/>
      <c r="E244" s="436"/>
      <c r="F244" s="418"/>
      <c r="G244" s="544">
        <f t="shared" si="26"/>
        <v>0</v>
      </c>
      <c r="H244" s="538">
        <f t="shared" si="27"/>
        <v>0</v>
      </c>
      <c r="I244" s="539">
        <f t="shared" si="28"/>
        <v>0</v>
      </c>
      <c r="J244" s="540"/>
      <c r="K244" s="403"/>
      <c r="L244" s="541">
        <f t="shared" si="29"/>
      </c>
      <c r="M244" s="542"/>
      <c r="N244" s="544">
        <v>0</v>
      </c>
      <c r="O244" s="542"/>
      <c r="P244" s="545">
        <f>BOKFØRT!C244</f>
        <v>0</v>
      </c>
      <c r="Q244" s="583">
        <f t="shared" si="30"/>
        <v>0</v>
      </c>
      <c r="R244" s="199"/>
      <c r="S244" s="199"/>
    </row>
    <row r="245" spans="1:19" s="1" customFormat="1" ht="12.75">
      <c r="A245" s="395">
        <v>321220</v>
      </c>
      <c r="B245" s="408" t="s">
        <v>30</v>
      </c>
      <c r="C245" s="397"/>
      <c r="D245" s="436"/>
      <c r="E245" s="436"/>
      <c r="F245" s="418"/>
      <c r="G245" s="544">
        <f t="shared" si="26"/>
        <v>0</v>
      </c>
      <c r="H245" s="538">
        <f t="shared" si="27"/>
        <v>0</v>
      </c>
      <c r="I245" s="539">
        <f t="shared" si="28"/>
        <v>0</v>
      </c>
      <c r="J245" s="540"/>
      <c r="K245" s="403"/>
      <c r="L245" s="541">
        <f t="shared" si="29"/>
      </c>
      <c r="M245" s="542"/>
      <c r="N245" s="544">
        <v>0</v>
      </c>
      <c r="O245" s="542"/>
      <c r="P245" s="545">
        <f>BOKFØRT!C245</f>
        <v>0</v>
      </c>
      <c r="Q245" s="583">
        <f t="shared" si="30"/>
        <v>0</v>
      </c>
      <c r="R245" s="199"/>
      <c r="S245" s="199"/>
    </row>
    <row r="246" spans="1:19" s="1" customFormat="1" ht="12.75">
      <c r="A246" s="395">
        <v>321221</v>
      </c>
      <c r="B246" s="408" t="s">
        <v>31</v>
      </c>
      <c r="C246" s="397"/>
      <c r="D246" s="438"/>
      <c r="E246" s="436"/>
      <c r="F246" s="439">
        <f>IF(D246=0,0,+G245)</f>
        <v>0</v>
      </c>
      <c r="G246" s="544">
        <f t="shared" si="26"/>
        <v>0</v>
      </c>
      <c r="H246" s="538">
        <f t="shared" si="27"/>
        <v>0</v>
      </c>
      <c r="I246" s="539">
        <f t="shared" si="28"/>
        <v>0</v>
      </c>
      <c r="J246" s="540"/>
      <c r="K246" s="403"/>
      <c r="L246" s="541">
        <f t="shared" si="29"/>
      </c>
      <c r="M246" s="542"/>
      <c r="N246" s="544">
        <v>0</v>
      </c>
      <c r="O246" s="542"/>
      <c r="P246" s="545">
        <f>BOKFØRT!C246</f>
        <v>0</v>
      </c>
      <c r="Q246" s="583">
        <f t="shared" si="30"/>
        <v>0</v>
      </c>
      <c r="R246" s="199"/>
      <c r="S246" s="199"/>
    </row>
    <row r="247" spans="1:19" s="1" customFormat="1" ht="12.75">
      <c r="A247" s="395">
        <v>321230</v>
      </c>
      <c r="B247" s="408" t="s">
        <v>32</v>
      </c>
      <c r="C247" s="397"/>
      <c r="D247" s="436"/>
      <c r="E247" s="436"/>
      <c r="F247" s="418"/>
      <c r="G247" s="544">
        <f t="shared" si="26"/>
        <v>0</v>
      </c>
      <c r="H247" s="538">
        <f t="shared" si="27"/>
        <v>0</v>
      </c>
      <c r="I247" s="539">
        <f t="shared" si="28"/>
        <v>0</v>
      </c>
      <c r="J247" s="540"/>
      <c r="K247" s="403"/>
      <c r="L247" s="541">
        <f t="shared" si="29"/>
      </c>
      <c r="M247" s="542"/>
      <c r="N247" s="544">
        <v>0</v>
      </c>
      <c r="O247" s="542"/>
      <c r="P247" s="545">
        <f>BOKFØRT!C247</f>
        <v>0</v>
      </c>
      <c r="Q247" s="583">
        <f t="shared" si="30"/>
        <v>0</v>
      </c>
      <c r="R247" s="199"/>
      <c r="S247" s="199"/>
    </row>
    <row r="248" spans="1:19" s="1" customFormat="1" ht="12.75">
      <c r="A248" s="395">
        <v>321231</v>
      </c>
      <c r="B248" s="408" t="s">
        <v>33</v>
      </c>
      <c r="C248" s="397"/>
      <c r="D248" s="438"/>
      <c r="E248" s="436"/>
      <c r="F248" s="439">
        <f>IF(D248=0,0,+G247)</f>
        <v>0</v>
      </c>
      <c r="G248" s="544">
        <f t="shared" si="26"/>
        <v>0</v>
      </c>
      <c r="H248" s="538">
        <f t="shared" si="27"/>
        <v>0</v>
      </c>
      <c r="I248" s="539">
        <f t="shared" si="28"/>
        <v>0</v>
      </c>
      <c r="J248" s="540"/>
      <c r="K248" s="403"/>
      <c r="L248" s="541">
        <f t="shared" si="29"/>
      </c>
      <c r="M248" s="542"/>
      <c r="N248" s="544">
        <v>0</v>
      </c>
      <c r="O248" s="542"/>
      <c r="P248" s="545">
        <f>BOKFØRT!C248</f>
        <v>0</v>
      </c>
      <c r="Q248" s="583">
        <f t="shared" si="30"/>
        <v>0</v>
      </c>
      <c r="R248" s="199"/>
      <c r="S248" s="199"/>
    </row>
    <row r="249" spans="1:19" s="1" customFormat="1" ht="12.75">
      <c r="A249" s="395">
        <v>321242</v>
      </c>
      <c r="B249" s="408" t="s">
        <v>34</v>
      </c>
      <c r="C249" s="397"/>
      <c r="D249" s="436"/>
      <c r="E249" s="436"/>
      <c r="F249" s="418"/>
      <c r="G249" s="544">
        <f t="shared" si="26"/>
        <v>0</v>
      </c>
      <c r="H249" s="538">
        <f t="shared" si="27"/>
        <v>0</v>
      </c>
      <c r="I249" s="539">
        <f t="shared" si="28"/>
        <v>0</v>
      </c>
      <c r="J249" s="540"/>
      <c r="K249" s="403"/>
      <c r="L249" s="541">
        <f t="shared" si="29"/>
      </c>
      <c r="M249" s="542"/>
      <c r="N249" s="544">
        <v>0</v>
      </c>
      <c r="O249" s="542"/>
      <c r="P249" s="545">
        <f>BOKFØRT!C249</f>
        <v>0</v>
      </c>
      <c r="Q249" s="583">
        <f t="shared" si="30"/>
        <v>0</v>
      </c>
      <c r="R249" s="199"/>
      <c r="S249" s="199"/>
    </row>
    <row r="250" spans="1:19" s="1" customFormat="1" ht="12.75">
      <c r="A250" s="395">
        <v>321243</v>
      </c>
      <c r="B250" s="408" t="s">
        <v>35</v>
      </c>
      <c r="C250" s="397"/>
      <c r="D250" s="438"/>
      <c r="E250" s="436"/>
      <c r="F250" s="439">
        <f>IF(D250=0,0,+G249)</f>
        <v>0</v>
      </c>
      <c r="G250" s="544">
        <f t="shared" si="26"/>
        <v>0</v>
      </c>
      <c r="H250" s="538">
        <f t="shared" si="27"/>
        <v>0</v>
      </c>
      <c r="I250" s="539">
        <f t="shared" si="28"/>
        <v>0</v>
      </c>
      <c r="J250" s="540"/>
      <c r="K250" s="403"/>
      <c r="L250" s="541">
        <f t="shared" si="29"/>
      </c>
      <c r="M250" s="542"/>
      <c r="N250" s="544">
        <v>0</v>
      </c>
      <c r="O250" s="542"/>
      <c r="P250" s="545">
        <f>BOKFØRT!C250</f>
        <v>0</v>
      </c>
      <c r="Q250" s="583">
        <f t="shared" si="30"/>
        <v>0</v>
      </c>
      <c r="R250" s="199"/>
      <c r="S250" s="199"/>
    </row>
    <row r="251" spans="1:19" s="1" customFormat="1" ht="12.75">
      <c r="A251" s="395">
        <v>321290</v>
      </c>
      <c r="B251" s="408" t="s">
        <v>36</v>
      </c>
      <c r="C251" s="397"/>
      <c r="D251" s="436"/>
      <c r="E251" s="436"/>
      <c r="F251" s="418"/>
      <c r="G251" s="544">
        <f t="shared" si="26"/>
        <v>0</v>
      </c>
      <c r="H251" s="538">
        <f t="shared" si="27"/>
        <v>0</v>
      </c>
      <c r="I251" s="539">
        <f t="shared" si="28"/>
        <v>0</v>
      </c>
      <c r="J251" s="540"/>
      <c r="K251" s="403"/>
      <c r="L251" s="541">
        <f t="shared" si="29"/>
      </c>
      <c r="M251" s="542"/>
      <c r="N251" s="544">
        <v>0</v>
      </c>
      <c r="O251" s="542"/>
      <c r="P251" s="545">
        <f>BOKFØRT!C251</f>
        <v>0</v>
      </c>
      <c r="Q251" s="583">
        <f t="shared" si="30"/>
        <v>0</v>
      </c>
      <c r="R251" s="199"/>
      <c r="S251" s="199"/>
    </row>
    <row r="252" spans="1:19" s="1" customFormat="1" ht="12.75">
      <c r="A252" s="395">
        <v>321291</v>
      </c>
      <c r="B252" s="408" t="s">
        <v>37</v>
      </c>
      <c r="C252" s="397"/>
      <c r="D252" s="453"/>
      <c r="E252" s="436"/>
      <c r="F252" s="578">
        <f>IF(D252=0,0,+G251)</f>
        <v>0</v>
      </c>
      <c r="G252" s="544">
        <f t="shared" si="26"/>
        <v>0</v>
      </c>
      <c r="H252" s="538">
        <f t="shared" si="27"/>
        <v>0</v>
      </c>
      <c r="I252" s="539">
        <f t="shared" si="28"/>
        <v>0</v>
      </c>
      <c r="J252" s="540"/>
      <c r="K252" s="403"/>
      <c r="L252" s="541">
        <f t="shared" si="29"/>
      </c>
      <c r="M252" s="542"/>
      <c r="N252" s="544">
        <v>0</v>
      </c>
      <c r="O252" s="542"/>
      <c r="P252" s="545">
        <f>BOKFØRT!C252</f>
        <v>0</v>
      </c>
      <c r="Q252" s="583">
        <f t="shared" si="30"/>
        <v>0</v>
      </c>
      <c r="R252" s="199"/>
      <c r="S252" s="199"/>
    </row>
    <row r="253" spans="1:19" s="1" customFormat="1" ht="12.75">
      <c r="A253" s="395">
        <v>324010</v>
      </c>
      <c r="B253" s="441" t="s">
        <v>550</v>
      </c>
      <c r="C253" s="397"/>
      <c r="D253" s="436"/>
      <c r="E253" s="436"/>
      <c r="F253" s="418"/>
      <c r="G253" s="544">
        <f t="shared" si="26"/>
        <v>0</v>
      </c>
      <c r="H253" s="538">
        <f t="shared" si="27"/>
        <v>0</v>
      </c>
      <c r="I253" s="539">
        <f t="shared" si="28"/>
        <v>0</v>
      </c>
      <c r="J253" s="540"/>
      <c r="K253" s="403"/>
      <c r="L253" s="541">
        <f t="shared" si="29"/>
      </c>
      <c r="M253" s="542"/>
      <c r="N253" s="544">
        <v>0</v>
      </c>
      <c r="O253" s="542"/>
      <c r="P253" s="545">
        <f>BOKFØRT!C253</f>
        <v>0</v>
      </c>
      <c r="Q253" s="583">
        <f t="shared" si="30"/>
        <v>0</v>
      </c>
      <c r="R253" s="199"/>
      <c r="S253" s="199"/>
    </row>
    <row r="254" spans="1:19" s="1" customFormat="1" ht="12.75">
      <c r="A254" s="395">
        <v>324092</v>
      </c>
      <c r="B254" s="441" t="s">
        <v>590</v>
      </c>
      <c r="C254" s="397"/>
      <c r="D254" s="436"/>
      <c r="E254" s="436"/>
      <c r="F254" s="418"/>
      <c r="G254" s="544">
        <f t="shared" si="26"/>
        <v>0</v>
      </c>
      <c r="H254" s="538">
        <f t="shared" si="27"/>
        <v>0</v>
      </c>
      <c r="I254" s="539">
        <f t="shared" si="28"/>
        <v>0</v>
      </c>
      <c r="J254" s="540"/>
      <c r="K254" s="403"/>
      <c r="L254" s="541">
        <f t="shared" si="29"/>
      </c>
      <c r="M254" s="542"/>
      <c r="N254" s="544">
        <v>0</v>
      </c>
      <c r="O254" s="542"/>
      <c r="P254" s="545">
        <f>BOKFØRT!C254</f>
        <v>0</v>
      </c>
      <c r="Q254" s="583">
        <f t="shared" si="30"/>
        <v>0</v>
      </c>
      <c r="R254" s="199"/>
      <c r="S254" s="199"/>
    </row>
    <row r="255" spans="1:19" s="1" customFormat="1" ht="12.75">
      <c r="A255" s="395">
        <v>324095</v>
      </c>
      <c r="B255" s="408" t="s">
        <v>554</v>
      </c>
      <c r="C255" s="397"/>
      <c r="D255" s="440"/>
      <c r="E255" s="440"/>
      <c r="F255" s="449"/>
      <c r="G255" s="562">
        <f>SUM(I239:I254)</f>
        <v>0</v>
      </c>
      <c r="H255" s="414"/>
      <c r="I255" s="546" t="s">
        <v>555</v>
      </c>
      <c r="J255" s="546"/>
      <c r="K255" s="573"/>
      <c r="L255" s="541"/>
      <c r="M255" s="542"/>
      <c r="N255" s="562">
        <v>0</v>
      </c>
      <c r="O255" s="542"/>
      <c r="P255" s="545">
        <f>BOKFØRT!C255</f>
        <v>0</v>
      </c>
      <c r="Q255" s="583">
        <f t="shared" si="30"/>
        <v>0</v>
      </c>
      <c r="R255" s="199"/>
      <c r="S255" s="199"/>
    </row>
    <row r="256" spans="1:19" s="1" customFormat="1" ht="12.75">
      <c r="A256" s="395">
        <v>329010</v>
      </c>
      <c r="B256" s="408" t="s">
        <v>556</v>
      </c>
      <c r="C256" s="397"/>
      <c r="D256" s="436"/>
      <c r="E256" s="436"/>
      <c r="F256" s="418"/>
      <c r="G256" s="544">
        <f aca="true" t="shared" si="31" ref="G256:G261">IF(X=0,(IF(Me=0,Sa,Me*Sa)),(IF(Me=0,Sa*X,Me*X*Sa)))</f>
        <v>0</v>
      </c>
      <c r="H256" s="433"/>
      <c r="I256" s="555"/>
      <c r="J256" s="555"/>
      <c r="K256" s="403"/>
      <c r="L256" s="541">
        <f t="shared" si="29"/>
      </c>
      <c r="M256" s="542"/>
      <c r="N256" s="544">
        <v>0</v>
      </c>
      <c r="O256" s="542"/>
      <c r="P256" s="545">
        <f>BOKFØRT!C256</f>
        <v>0</v>
      </c>
      <c r="Q256" s="583">
        <f t="shared" si="30"/>
        <v>0</v>
      </c>
      <c r="R256" s="199"/>
      <c r="S256" s="199"/>
    </row>
    <row r="257" spans="1:19" s="1" customFormat="1" ht="12.75">
      <c r="A257" s="395">
        <v>329027</v>
      </c>
      <c r="B257" s="408" t="s">
        <v>15</v>
      </c>
      <c r="C257" s="397"/>
      <c r="D257" s="436"/>
      <c r="E257" s="436"/>
      <c r="F257" s="418"/>
      <c r="G257" s="544">
        <f t="shared" si="31"/>
        <v>0</v>
      </c>
      <c r="H257" s="433"/>
      <c r="I257" s="555"/>
      <c r="J257" s="555"/>
      <c r="K257" s="403"/>
      <c r="L257" s="541">
        <f t="shared" si="29"/>
      </c>
      <c r="M257" s="542"/>
      <c r="N257" s="544">
        <v>0</v>
      </c>
      <c r="O257" s="542"/>
      <c r="P257" s="545">
        <f>BOKFØRT!C257</f>
        <v>0</v>
      </c>
      <c r="Q257" s="583">
        <f t="shared" si="30"/>
        <v>0</v>
      </c>
      <c r="R257" s="199"/>
      <c r="S257" s="199"/>
    </row>
    <row r="258" spans="1:19" s="1" customFormat="1" ht="12.75">
      <c r="A258" s="395">
        <v>329040</v>
      </c>
      <c r="B258" s="408" t="s">
        <v>769</v>
      </c>
      <c r="C258" s="397"/>
      <c r="D258" s="436"/>
      <c r="E258" s="436"/>
      <c r="F258" s="418"/>
      <c r="G258" s="544">
        <f t="shared" si="31"/>
        <v>0</v>
      </c>
      <c r="H258" s="433"/>
      <c r="I258" s="555"/>
      <c r="J258" s="555"/>
      <c r="K258" s="403"/>
      <c r="L258" s="541">
        <f t="shared" si="29"/>
      </c>
      <c r="M258" s="542"/>
      <c r="N258" s="544">
        <v>0</v>
      </c>
      <c r="O258" s="542"/>
      <c r="P258" s="545">
        <f>BOKFØRT!C258</f>
        <v>0</v>
      </c>
      <c r="Q258" s="583">
        <f t="shared" si="30"/>
        <v>0</v>
      </c>
      <c r="R258" s="199"/>
      <c r="S258" s="199"/>
    </row>
    <row r="259" spans="1:19" s="1" customFormat="1" ht="12.75">
      <c r="A259" s="395">
        <v>329060</v>
      </c>
      <c r="B259" s="408" t="s">
        <v>562</v>
      </c>
      <c r="C259" s="397"/>
      <c r="D259" s="436"/>
      <c r="E259" s="436"/>
      <c r="F259" s="418"/>
      <c r="G259" s="544">
        <f t="shared" si="31"/>
        <v>0</v>
      </c>
      <c r="H259" s="433"/>
      <c r="I259" s="555"/>
      <c r="J259" s="555"/>
      <c r="K259" s="403"/>
      <c r="L259" s="541">
        <f t="shared" si="29"/>
      </c>
      <c r="M259" s="542"/>
      <c r="N259" s="544">
        <v>0</v>
      </c>
      <c r="O259" s="542"/>
      <c r="P259" s="545">
        <f>BOKFØRT!C259</f>
        <v>0</v>
      </c>
      <c r="Q259" s="583">
        <f t="shared" si="30"/>
        <v>0</v>
      </c>
      <c r="R259" s="199"/>
      <c r="S259" s="199"/>
    </row>
    <row r="260" spans="1:19" s="1" customFormat="1" ht="12.75">
      <c r="A260" s="395">
        <v>329064</v>
      </c>
      <c r="B260" s="408" t="s">
        <v>21</v>
      </c>
      <c r="C260" s="397"/>
      <c r="D260" s="436"/>
      <c r="E260" s="436"/>
      <c r="F260" s="418"/>
      <c r="G260" s="544">
        <f t="shared" si="31"/>
        <v>0</v>
      </c>
      <c r="H260" s="433"/>
      <c r="I260" s="555"/>
      <c r="J260" s="555"/>
      <c r="K260" s="403"/>
      <c r="L260" s="541">
        <f t="shared" si="29"/>
      </c>
      <c r="M260" s="542"/>
      <c r="N260" s="544">
        <v>0</v>
      </c>
      <c r="O260" s="542"/>
      <c r="P260" s="545">
        <f>BOKFØRT!C260</f>
        <v>0</v>
      </c>
      <c r="Q260" s="583">
        <f t="shared" si="30"/>
        <v>0</v>
      </c>
      <c r="R260" s="199"/>
      <c r="S260" s="199"/>
    </row>
    <row r="261" spans="1:19" s="1" customFormat="1" ht="12.75">
      <c r="A261" s="395">
        <v>329069</v>
      </c>
      <c r="B261" s="420" t="s">
        <v>564</v>
      </c>
      <c r="C261" s="421" t="s">
        <v>416</v>
      </c>
      <c r="D261" s="422"/>
      <c r="E261" s="422"/>
      <c r="F261" s="423"/>
      <c r="G261" s="548">
        <f t="shared" si="31"/>
        <v>0</v>
      </c>
      <c r="H261" s="414"/>
      <c r="I261" s="540"/>
      <c r="J261" s="540"/>
      <c r="K261" s="403"/>
      <c r="L261" s="541">
        <f t="shared" si="29"/>
      </c>
      <c r="M261" s="542"/>
      <c r="N261" s="548">
        <v>0</v>
      </c>
      <c r="O261" s="542"/>
      <c r="P261" s="550">
        <f>BOKFØRT!C261</f>
        <v>0</v>
      </c>
      <c r="Q261" s="583">
        <f t="shared" si="30"/>
        <v>0</v>
      </c>
      <c r="R261" s="199"/>
      <c r="S261" s="199"/>
    </row>
    <row r="262" spans="1:19" s="1" customFormat="1" ht="13.5" thickBot="1">
      <c r="A262" s="445" t="s">
        <v>401</v>
      </c>
      <c r="B262" s="426"/>
      <c r="C262" s="451"/>
      <c r="D262" s="433"/>
      <c r="E262" s="434"/>
      <c r="F262" s="448" t="s">
        <v>570</v>
      </c>
      <c r="G262" s="558">
        <f>SUM(G239:G261)</f>
        <v>0</v>
      </c>
      <c r="H262" s="414"/>
      <c r="I262" s="555"/>
      <c r="J262" s="555"/>
      <c r="K262" s="394"/>
      <c r="L262" s="558">
        <f>SUM(L239:L261)</f>
        <v>0</v>
      </c>
      <c r="M262" s="542"/>
      <c r="N262" s="558">
        <v>0</v>
      </c>
      <c r="O262" s="542"/>
      <c r="P262" s="559">
        <f>SUM(P239:P261)</f>
        <v>0</v>
      </c>
      <c r="Q262" s="583">
        <f t="shared" si="30"/>
        <v>0</v>
      </c>
      <c r="R262" s="199"/>
      <c r="S262" s="199"/>
    </row>
    <row r="263" spans="1:19" s="1" customFormat="1" ht="0.75" customHeight="1" thickTop="1">
      <c r="A263" s="431"/>
      <c r="B263" s="432"/>
      <c r="C263" s="427"/>
      <c r="D263" s="433"/>
      <c r="E263" s="434"/>
      <c r="F263" s="433"/>
      <c r="G263" s="555"/>
      <c r="H263" s="414"/>
      <c r="I263" s="555"/>
      <c r="J263" s="555"/>
      <c r="K263" s="394"/>
      <c r="L263" s="541">
        <f>IF(E263=mva,G263-(G263/mva),"")</f>
      </c>
      <c r="M263" s="542"/>
      <c r="N263" s="555"/>
      <c r="O263" s="542"/>
      <c r="P263" s="565"/>
      <c r="Q263" s="583">
        <f t="shared" si="30"/>
        <v>0</v>
      </c>
      <c r="R263" s="199"/>
      <c r="S263" s="199"/>
    </row>
    <row r="264" spans="1:19" s="1" customFormat="1" ht="24.75" customHeight="1" thickTop="1">
      <c r="A264" s="391" t="s">
        <v>521</v>
      </c>
      <c r="B264" s="435"/>
      <c r="C264" s="427"/>
      <c r="D264" s="511" t="s">
        <v>422</v>
      </c>
      <c r="E264" s="512" t="s">
        <v>423</v>
      </c>
      <c r="F264" s="511" t="s">
        <v>424</v>
      </c>
      <c r="G264" s="533" t="s">
        <v>425</v>
      </c>
      <c r="H264" s="511" t="s">
        <v>426</v>
      </c>
      <c r="I264" s="534" t="s">
        <v>427</v>
      </c>
      <c r="J264" s="534"/>
      <c r="K264" s="394"/>
      <c r="L264" s="533" t="s">
        <v>688</v>
      </c>
      <c r="M264" s="536"/>
      <c r="N264" s="533" t="s">
        <v>425</v>
      </c>
      <c r="O264" s="536"/>
      <c r="P264" s="533" t="s">
        <v>677</v>
      </c>
      <c r="Q264" s="583"/>
      <c r="R264" s="199"/>
      <c r="S264" s="199"/>
    </row>
    <row r="265" spans="1:19" s="1" customFormat="1" ht="12.75">
      <c r="A265" s="395">
        <v>331310</v>
      </c>
      <c r="B265" s="408" t="s">
        <v>579</v>
      </c>
      <c r="C265" s="397"/>
      <c r="D265" s="436"/>
      <c r="E265" s="436"/>
      <c r="F265" s="418"/>
      <c r="G265" s="537">
        <f aca="true" t="shared" si="32" ref="G265:G289">IF(X=0,(IF(Me=0,Sa,Me*Sa)),(IF(Me=0,Sa*X,Me*X*Sa)))</f>
        <v>0</v>
      </c>
      <c r="H265" s="538">
        <f aca="true" t="shared" si="33" ref="H265:H289">IF(Sum,Sos,0)</f>
        <v>0</v>
      </c>
      <c r="I265" s="539">
        <f aca="true" t="shared" si="34" ref="I265:I289">IF(Prosent&lt;&gt;0,(Sum*Prosent)/100,0)</f>
        <v>0</v>
      </c>
      <c r="J265" s="540"/>
      <c r="K265" s="403"/>
      <c r="L265" s="541">
        <f aca="true" t="shared" si="35" ref="L265:L328">IF(FMVAE&lt;&gt;"",(Sum*mva)-Sum,"")</f>
      </c>
      <c r="M265" s="542"/>
      <c r="N265" s="537">
        <v>0</v>
      </c>
      <c r="O265" s="542"/>
      <c r="P265" s="543">
        <f>BOKFØRT!C265</f>
        <v>0</v>
      </c>
      <c r="Q265" s="583">
        <f aca="true" t="shared" si="36" ref="Q265:Q328">G265+N265+P265</f>
        <v>0</v>
      </c>
      <c r="R265" s="199"/>
      <c r="S265" s="199"/>
    </row>
    <row r="266" spans="1:19" s="1" customFormat="1" ht="12.75">
      <c r="A266" s="395">
        <v>331311</v>
      </c>
      <c r="B266" s="437" t="s">
        <v>580</v>
      </c>
      <c r="C266" s="397"/>
      <c r="D266" s="438"/>
      <c r="E266" s="436"/>
      <c r="F266" s="439">
        <f>IF(D266=0,0,+G265)</f>
        <v>0</v>
      </c>
      <c r="G266" s="544">
        <f t="shared" si="32"/>
        <v>0</v>
      </c>
      <c r="H266" s="538">
        <f t="shared" si="33"/>
        <v>0</v>
      </c>
      <c r="I266" s="539">
        <f t="shared" si="34"/>
        <v>0</v>
      </c>
      <c r="J266" s="540"/>
      <c r="K266" s="403"/>
      <c r="L266" s="541">
        <f t="shared" si="35"/>
      </c>
      <c r="M266" s="542"/>
      <c r="N266" s="544">
        <v>0</v>
      </c>
      <c r="O266" s="542"/>
      <c r="P266" s="545">
        <f>BOKFØRT!C266</f>
        <v>0</v>
      </c>
      <c r="Q266" s="583">
        <f t="shared" si="36"/>
        <v>0</v>
      </c>
      <c r="R266" s="199"/>
      <c r="S266" s="199"/>
    </row>
    <row r="267" spans="1:19" s="1" customFormat="1" ht="12.75">
      <c r="A267" s="395">
        <v>331312</v>
      </c>
      <c r="B267" s="408" t="s">
        <v>38</v>
      </c>
      <c r="C267" s="397"/>
      <c r="D267" s="436"/>
      <c r="E267" s="436"/>
      <c r="F267" s="418"/>
      <c r="G267" s="544">
        <f t="shared" si="32"/>
        <v>0</v>
      </c>
      <c r="H267" s="538">
        <f t="shared" si="33"/>
        <v>0</v>
      </c>
      <c r="I267" s="539">
        <f t="shared" si="34"/>
        <v>0</v>
      </c>
      <c r="J267" s="540"/>
      <c r="K267" s="403"/>
      <c r="L267" s="541">
        <f t="shared" si="35"/>
      </c>
      <c r="M267" s="542"/>
      <c r="N267" s="544">
        <v>0</v>
      </c>
      <c r="O267" s="542"/>
      <c r="P267" s="545">
        <f>BOKFØRT!C267</f>
        <v>0</v>
      </c>
      <c r="Q267" s="583">
        <f t="shared" si="36"/>
        <v>0</v>
      </c>
      <c r="R267" s="199"/>
      <c r="S267" s="199"/>
    </row>
    <row r="268" spans="1:19" s="1" customFormat="1" ht="12.75">
      <c r="A268" s="395">
        <v>331313</v>
      </c>
      <c r="B268" s="437" t="s">
        <v>39</v>
      </c>
      <c r="C268" s="397"/>
      <c r="D268" s="438"/>
      <c r="E268" s="436"/>
      <c r="F268" s="439">
        <f>IF(D268=0,0,+G267)</f>
        <v>0</v>
      </c>
      <c r="G268" s="544">
        <f t="shared" si="32"/>
        <v>0</v>
      </c>
      <c r="H268" s="538">
        <f t="shared" si="33"/>
        <v>0</v>
      </c>
      <c r="I268" s="539">
        <f t="shared" si="34"/>
        <v>0</v>
      </c>
      <c r="J268" s="540"/>
      <c r="K268" s="403"/>
      <c r="L268" s="541">
        <f t="shared" si="35"/>
      </c>
      <c r="M268" s="542"/>
      <c r="N268" s="544">
        <v>0</v>
      </c>
      <c r="O268" s="542"/>
      <c r="P268" s="545">
        <f>BOKFØRT!C268</f>
        <v>0</v>
      </c>
      <c r="Q268" s="583">
        <f t="shared" si="36"/>
        <v>0</v>
      </c>
      <c r="R268" s="199"/>
      <c r="S268" s="199"/>
    </row>
    <row r="269" spans="1:19" s="1" customFormat="1" ht="12.75">
      <c r="A269" s="395">
        <v>331320</v>
      </c>
      <c r="B269" s="408" t="s">
        <v>40</v>
      </c>
      <c r="C269" s="397"/>
      <c r="D269" s="436"/>
      <c r="E269" s="436"/>
      <c r="F269" s="418"/>
      <c r="G269" s="544">
        <f t="shared" si="32"/>
        <v>0</v>
      </c>
      <c r="H269" s="538">
        <f t="shared" si="33"/>
        <v>0</v>
      </c>
      <c r="I269" s="539">
        <f t="shared" si="34"/>
        <v>0</v>
      </c>
      <c r="J269" s="540"/>
      <c r="K269" s="403"/>
      <c r="L269" s="541">
        <f t="shared" si="35"/>
      </c>
      <c r="M269" s="542"/>
      <c r="N269" s="544">
        <v>0</v>
      </c>
      <c r="O269" s="542"/>
      <c r="P269" s="545">
        <f>BOKFØRT!C269</f>
        <v>0</v>
      </c>
      <c r="Q269" s="583">
        <f t="shared" si="36"/>
        <v>0</v>
      </c>
      <c r="R269" s="199"/>
      <c r="S269" s="199"/>
    </row>
    <row r="270" spans="1:19" s="1" customFormat="1" ht="12.75">
      <c r="A270" s="395">
        <v>331321</v>
      </c>
      <c r="B270" s="437" t="s">
        <v>41</v>
      </c>
      <c r="C270" s="397"/>
      <c r="D270" s="438"/>
      <c r="E270" s="436"/>
      <c r="F270" s="439">
        <f>IF(D270=0,0,+G269)</f>
        <v>0</v>
      </c>
      <c r="G270" s="544">
        <f t="shared" si="32"/>
        <v>0</v>
      </c>
      <c r="H270" s="538">
        <f t="shared" si="33"/>
        <v>0</v>
      </c>
      <c r="I270" s="539">
        <f t="shared" si="34"/>
        <v>0</v>
      </c>
      <c r="J270" s="540"/>
      <c r="K270" s="403"/>
      <c r="L270" s="541">
        <f t="shared" si="35"/>
      </c>
      <c r="M270" s="542"/>
      <c r="N270" s="544">
        <v>0</v>
      </c>
      <c r="O270" s="542"/>
      <c r="P270" s="545">
        <f>BOKFØRT!C270</f>
        <v>0</v>
      </c>
      <c r="Q270" s="583">
        <f t="shared" si="36"/>
        <v>0</v>
      </c>
      <c r="R270" s="199"/>
      <c r="S270" s="199"/>
    </row>
    <row r="271" spans="1:19" s="1" customFormat="1" ht="12.75">
      <c r="A271" s="395">
        <v>331330</v>
      </c>
      <c r="B271" s="408" t="s">
        <v>42</v>
      </c>
      <c r="C271" s="397"/>
      <c r="D271" s="436"/>
      <c r="E271" s="436"/>
      <c r="F271" s="418"/>
      <c r="G271" s="544">
        <f t="shared" si="32"/>
        <v>0</v>
      </c>
      <c r="H271" s="538">
        <f t="shared" si="33"/>
        <v>0</v>
      </c>
      <c r="I271" s="539">
        <f t="shared" si="34"/>
        <v>0</v>
      </c>
      <c r="J271" s="540"/>
      <c r="K271" s="403"/>
      <c r="L271" s="541">
        <f t="shared" si="35"/>
      </c>
      <c r="M271" s="542"/>
      <c r="N271" s="544">
        <v>0</v>
      </c>
      <c r="O271" s="542"/>
      <c r="P271" s="545">
        <f>BOKFØRT!C271</f>
        <v>0</v>
      </c>
      <c r="Q271" s="583">
        <f t="shared" si="36"/>
        <v>0</v>
      </c>
      <c r="R271" s="199"/>
      <c r="S271" s="199"/>
    </row>
    <row r="272" spans="1:19" s="1" customFormat="1" ht="12.75">
      <c r="A272" s="395">
        <v>331331</v>
      </c>
      <c r="B272" s="437" t="s">
        <v>43</v>
      </c>
      <c r="C272" s="397"/>
      <c r="D272" s="438"/>
      <c r="E272" s="436"/>
      <c r="F272" s="439">
        <f>IF(D272=0,0,+G271)</f>
        <v>0</v>
      </c>
      <c r="G272" s="544">
        <f t="shared" si="32"/>
        <v>0</v>
      </c>
      <c r="H272" s="538">
        <f t="shared" si="33"/>
        <v>0</v>
      </c>
      <c r="I272" s="539">
        <f t="shared" si="34"/>
        <v>0</v>
      </c>
      <c r="J272" s="540"/>
      <c r="K272" s="403"/>
      <c r="L272" s="541">
        <f t="shared" si="35"/>
      </c>
      <c r="M272" s="542"/>
      <c r="N272" s="544">
        <v>0</v>
      </c>
      <c r="O272" s="542"/>
      <c r="P272" s="545">
        <f>BOKFØRT!C272</f>
        <v>0</v>
      </c>
      <c r="Q272" s="583">
        <f t="shared" si="36"/>
        <v>0</v>
      </c>
      <c r="R272" s="199"/>
      <c r="S272" s="199"/>
    </row>
    <row r="273" spans="1:19" s="1" customFormat="1" ht="12.75">
      <c r="A273" s="395">
        <v>331332</v>
      </c>
      <c r="B273" s="408" t="s">
        <v>44</v>
      </c>
      <c r="C273" s="397"/>
      <c r="D273" s="436"/>
      <c r="E273" s="436"/>
      <c r="F273" s="418"/>
      <c r="G273" s="544">
        <f t="shared" si="32"/>
        <v>0</v>
      </c>
      <c r="H273" s="538">
        <f t="shared" si="33"/>
        <v>0</v>
      </c>
      <c r="I273" s="539">
        <f t="shared" si="34"/>
        <v>0</v>
      </c>
      <c r="J273" s="540"/>
      <c r="K273" s="403"/>
      <c r="L273" s="541">
        <f t="shared" si="35"/>
      </c>
      <c r="M273" s="542"/>
      <c r="N273" s="544">
        <v>0</v>
      </c>
      <c r="O273" s="542"/>
      <c r="P273" s="545">
        <f>BOKFØRT!C273</f>
        <v>0</v>
      </c>
      <c r="Q273" s="583">
        <f t="shared" si="36"/>
        <v>0</v>
      </c>
      <c r="R273" s="199"/>
      <c r="S273" s="199"/>
    </row>
    <row r="274" spans="1:19" s="1" customFormat="1" ht="12.75">
      <c r="A274" s="395">
        <v>331333</v>
      </c>
      <c r="B274" s="437" t="s">
        <v>45</v>
      </c>
      <c r="C274" s="397"/>
      <c r="D274" s="438"/>
      <c r="E274" s="436"/>
      <c r="F274" s="439">
        <f>IF(D274=0,0,+G273)</f>
        <v>0</v>
      </c>
      <c r="G274" s="544">
        <f t="shared" si="32"/>
        <v>0</v>
      </c>
      <c r="H274" s="538">
        <f t="shared" si="33"/>
        <v>0</v>
      </c>
      <c r="I274" s="539">
        <f t="shared" si="34"/>
        <v>0</v>
      </c>
      <c r="J274" s="540"/>
      <c r="K274" s="403"/>
      <c r="L274" s="541">
        <f t="shared" si="35"/>
      </c>
      <c r="M274" s="542"/>
      <c r="N274" s="544">
        <v>0</v>
      </c>
      <c r="O274" s="542"/>
      <c r="P274" s="545">
        <f>BOKFØRT!C274</f>
        <v>0</v>
      </c>
      <c r="Q274" s="583">
        <f t="shared" si="36"/>
        <v>0</v>
      </c>
      <c r="R274" s="199"/>
      <c r="S274" s="199"/>
    </row>
    <row r="275" spans="1:19" s="1" customFormat="1" ht="12.75">
      <c r="A275" s="395">
        <v>331334</v>
      </c>
      <c r="B275" s="408" t="s">
        <v>46</v>
      </c>
      <c r="C275" s="397"/>
      <c r="D275" s="436"/>
      <c r="E275" s="436"/>
      <c r="F275" s="418"/>
      <c r="G275" s="544">
        <f t="shared" si="32"/>
        <v>0</v>
      </c>
      <c r="H275" s="538">
        <f t="shared" si="33"/>
        <v>0</v>
      </c>
      <c r="I275" s="539">
        <f t="shared" si="34"/>
        <v>0</v>
      </c>
      <c r="J275" s="540"/>
      <c r="K275" s="403"/>
      <c r="L275" s="541">
        <f t="shared" si="35"/>
      </c>
      <c r="M275" s="542"/>
      <c r="N275" s="544">
        <v>0</v>
      </c>
      <c r="O275" s="542"/>
      <c r="P275" s="545">
        <f>BOKFØRT!C275</f>
        <v>0</v>
      </c>
      <c r="Q275" s="583">
        <f t="shared" si="36"/>
        <v>0</v>
      </c>
      <c r="R275" s="199"/>
      <c r="S275" s="199"/>
    </row>
    <row r="276" spans="1:19" s="1" customFormat="1" ht="12.75">
      <c r="A276" s="395">
        <v>331335</v>
      </c>
      <c r="B276" s="437" t="s">
        <v>47</v>
      </c>
      <c r="C276" s="397"/>
      <c r="D276" s="438"/>
      <c r="E276" s="436"/>
      <c r="F276" s="439">
        <f>IF(D276=0,0,+G275)</f>
        <v>0</v>
      </c>
      <c r="G276" s="544">
        <f t="shared" si="32"/>
        <v>0</v>
      </c>
      <c r="H276" s="538">
        <f t="shared" si="33"/>
        <v>0</v>
      </c>
      <c r="I276" s="539">
        <f t="shared" si="34"/>
        <v>0</v>
      </c>
      <c r="J276" s="540"/>
      <c r="K276" s="403"/>
      <c r="L276" s="541">
        <f t="shared" si="35"/>
      </c>
      <c r="M276" s="542"/>
      <c r="N276" s="544">
        <v>0</v>
      </c>
      <c r="O276" s="542"/>
      <c r="P276" s="545">
        <f>BOKFØRT!C276</f>
        <v>0</v>
      </c>
      <c r="Q276" s="583">
        <f t="shared" si="36"/>
        <v>0</v>
      </c>
      <c r="R276" s="199"/>
      <c r="S276" s="199"/>
    </row>
    <row r="277" spans="1:19" s="1" customFormat="1" ht="12.75">
      <c r="A277" s="395">
        <v>331340</v>
      </c>
      <c r="B277" s="408" t="s">
        <v>48</v>
      </c>
      <c r="C277" s="397"/>
      <c r="D277" s="436"/>
      <c r="E277" s="436"/>
      <c r="F277" s="418"/>
      <c r="G277" s="544">
        <f t="shared" si="32"/>
        <v>0</v>
      </c>
      <c r="H277" s="538">
        <f t="shared" si="33"/>
        <v>0</v>
      </c>
      <c r="I277" s="539">
        <f t="shared" si="34"/>
        <v>0</v>
      </c>
      <c r="J277" s="540"/>
      <c r="K277" s="403"/>
      <c r="L277" s="541">
        <f t="shared" si="35"/>
      </c>
      <c r="M277" s="542"/>
      <c r="N277" s="544">
        <v>0</v>
      </c>
      <c r="O277" s="542"/>
      <c r="P277" s="545">
        <f>BOKFØRT!C277</f>
        <v>0</v>
      </c>
      <c r="Q277" s="583">
        <f t="shared" si="36"/>
        <v>0</v>
      </c>
      <c r="R277" s="199"/>
      <c r="S277" s="199"/>
    </row>
    <row r="278" spans="1:19" s="1" customFormat="1" ht="12.75">
      <c r="A278" s="395">
        <v>331341</v>
      </c>
      <c r="B278" s="408" t="s">
        <v>49</v>
      </c>
      <c r="C278" s="397"/>
      <c r="D278" s="438"/>
      <c r="E278" s="436"/>
      <c r="F278" s="439">
        <f>IF(D278=0,0,+G277)</f>
        <v>0</v>
      </c>
      <c r="G278" s="544">
        <f t="shared" si="32"/>
        <v>0</v>
      </c>
      <c r="H278" s="538">
        <f t="shared" si="33"/>
        <v>0</v>
      </c>
      <c r="I278" s="539">
        <f t="shared" si="34"/>
        <v>0</v>
      </c>
      <c r="J278" s="540"/>
      <c r="K278" s="403"/>
      <c r="L278" s="541">
        <f t="shared" si="35"/>
      </c>
      <c r="M278" s="542"/>
      <c r="N278" s="544">
        <v>0</v>
      </c>
      <c r="O278" s="542"/>
      <c r="P278" s="545">
        <f>BOKFØRT!C278</f>
        <v>0</v>
      </c>
      <c r="Q278" s="583">
        <f t="shared" si="36"/>
        <v>0</v>
      </c>
      <c r="R278" s="199"/>
      <c r="S278" s="199"/>
    </row>
    <row r="279" spans="1:19" s="1" customFormat="1" ht="12.75">
      <c r="A279" s="395">
        <v>331342</v>
      </c>
      <c r="B279" s="408" t="s">
        <v>50</v>
      </c>
      <c r="C279" s="397"/>
      <c r="D279" s="436"/>
      <c r="E279" s="436"/>
      <c r="F279" s="418"/>
      <c r="G279" s="544">
        <f t="shared" si="32"/>
        <v>0</v>
      </c>
      <c r="H279" s="538">
        <f t="shared" si="33"/>
        <v>0</v>
      </c>
      <c r="I279" s="539">
        <f t="shared" si="34"/>
        <v>0</v>
      </c>
      <c r="J279" s="540"/>
      <c r="K279" s="403"/>
      <c r="L279" s="541">
        <f t="shared" si="35"/>
      </c>
      <c r="M279" s="542"/>
      <c r="N279" s="544">
        <v>0</v>
      </c>
      <c r="O279" s="542"/>
      <c r="P279" s="545">
        <f>BOKFØRT!C279</f>
        <v>0</v>
      </c>
      <c r="Q279" s="583">
        <f t="shared" si="36"/>
        <v>0</v>
      </c>
      <c r="R279" s="199"/>
      <c r="S279" s="199"/>
    </row>
    <row r="280" spans="1:19" s="1" customFormat="1" ht="12.75">
      <c r="A280" s="395">
        <v>331343</v>
      </c>
      <c r="B280" s="437" t="s">
        <v>51</v>
      </c>
      <c r="C280" s="397"/>
      <c r="D280" s="438"/>
      <c r="E280" s="436"/>
      <c r="F280" s="439">
        <f>IF(D280=0,0,+G279)</f>
        <v>0</v>
      </c>
      <c r="G280" s="544">
        <f t="shared" si="32"/>
        <v>0</v>
      </c>
      <c r="H280" s="538">
        <f t="shared" si="33"/>
        <v>0</v>
      </c>
      <c r="I280" s="539">
        <f t="shared" si="34"/>
        <v>0</v>
      </c>
      <c r="J280" s="540"/>
      <c r="K280" s="403"/>
      <c r="L280" s="541">
        <f t="shared" si="35"/>
      </c>
      <c r="M280" s="542"/>
      <c r="N280" s="544">
        <v>0</v>
      </c>
      <c r="O280" s="542"/>
      <c r="P280" s="545">
        <f>BOKFØRT!C280</f>
        <v>0</v>
      </c>
      <c r="Q280" s="583">
        <f t="shared" si="36"/>
        <v>0</v>
      </c>
      <c r="R280" s="199"/>
      <c r="S280" s="199"/>
    </row>
    <row r="281" spans="1:19" s="1" customFormat="1" ht="12.75">
      <c r="A281" s="395">
        <v>331350</v>
      </c>
      <c r="B281" s="408" t="s">
        <v>52</v>
      </c>
      <c r="C281" s="397"/>
      <c r="D281" s="436"/>
      <c r="E281" s="436"/>
      <c r="F281" s="418"/>
      <c r="G281" s="544">
        <f t="shared" si="32"/>
        <v>0</v>
      </c>
      <c r="H281" s="538">
        <f t="shared" si="33"/>
        <v>0</v>
      </c>
      <c r="I281" s="539">
        <f t="shared" si="34"/>
        <v>0</v>
      </c>
      <c r="J281" s="540"/>
      <c r="K281" s="403"/>
      <c r="L281" s="541">
        <f t="shared" si="35"/>
      </c>
      <c r="M281" s="542"/>
      <c r="N281" s="544">
        <v>0</v>
      </c>
      <c r="O281" s="542"/>
      <c r="P281" s="545">
        <f>BOKFØRT!C281</f>
        <v>0</v>
      </c>
      <c r="Q281" s="583">
        <f t="shared" si="36"/>
        <v>0</v>
      </c>
      <c r="R281" s="199"/>
      <c r="S281" s="199"/>
    </row>
    <row r="282" spans="1:19" s="1" customFormat="1" ht="12.75">
      <c r="A282" s="395">
        <v>331351</v>
      </c>
      <c r="B282" s="408" t="s">
        <v>53</v>
      </c>
      <c r="C282" s="397"/>
      <c r="D282" s="438"/>
      <c r="E282" s="436"/>
      <c r="F282" s="439">
        <f>IF(D282=0,0,+G281)</f>
        <v>0</v>
      </c>
      <c r="G282" s="544">
        <f t="shared" si="32"/>
        <v>0</v>
      </c>
      <c r="H282" s="538">
        <f t="shared" si="33"/>
        <v>0</v>
      </c>
      <c r="I282" s="539">
        <f t="shared" si="34"/>
        <v>0</v>
      </c>
      <c r="J282" s="540"/>
      <c r="K282" s="403"/>
      <c r="L282" s="541">
        <f t="shared" si="35"/>
      </c>
      <c r="M282" s="542"/>
      <c r="N282" s="544">
        <v>0</v>
      </c>
      <c r="O282" s="542"/>
      <c r="P282" s="545">
        <f>BOKFØRT!C282</f>
        <v>0</v>
      </c>
      <c r="Q282" s="583">
        <f t="shared" si="36"/>
        <v>0</v>
      </c>
      <c r="R282" s="199"/>
      <c r="S282" s="199"/>
    </row>
    <row r="283" spans="1:19" s="1" customFormat="1" ht="12.75">
      <c r="A283" s="395">
        <v>331352</v>
      </c>
      <c r="B283" s="408" t="s">
        <v>54</v>
      </c>
      <c r="C283" s="397"/>
      <c r="D283" s="436"/>
      <c r="E283" s="436"/>
      <c r="F283" s="418"/>
      <c r="G283" s="544">
        <f t="shared" si="32"/>
        <v>0</v>
      </c>
      <c r="H283" s="538">
        <f t="shared" si="33"/>
        <v>0</v>
      </c>
      <c r="I283" s="539">
        <f t="shared" si="34"/>
        <v>0</v>
      </c>
      <c r="J283" s="540"/>
      <c r="K283" s="403"/>
      <c r="L283" s="541">
        <f t="shared" si="35"/>
      </c>
      <c r="M283" s="542"/>
      <c r="N283" s="544">
        <v>0</v>
      </c>
      <c r="O283" s="542"/>
      <c r="P283" s="545">
        <f>BOKFØRT!C283</f>
        <v>0</v>
      </c>
      <c r="Q283" s="583">
        <f t="shared" si="36"/>
        <v>0</v>
      </c>
      <c r="R283" s="199"/>
      <c r="S283" s="199"/>
    </row>
    <row r="284" spans="1:19" s="1" customFormat="1" ht="12.75">
      <c r="A284" s="395">
        <v>331353</v>
      </c>
      <c r="B284" s="408" t="s">
        <v>55</v>
      </c>
      <c r="C284" s="397"/>
      <c r="D284" s="438"/>
      <c r="E284" s="436"/>
      <c r="F284" s="439">
        <f>IF(D284=0,0,+G283)</f>
        <v>0</v>
      </c>
      <c r="G284" s="544">
        <f t="shared" si="32"/>
        <v>0</v>
      </c>
      <c r="H284" s="538">
        <f t="shared" si="33"/>
        <v>0</v>
      </c>
      <c r="I284" s="539">
        <f t="shared" si="34"/>
        <v>0</v>
      </c>
      <c r="J284" s="540"/>
      <c r="K284" s="403"/>
      <c r="L284" s="541">
        <f t="shared" si="35"/>
      </c>
      <c r="M284" s="542"/>
      <c r="N284" s="544">
        <v>0</v>
      </c>
      <c r="O284" s="542"/>
      <c r="P284" s="545">
        <f>BOKFØRT!C284</f>
        <v>0</v>
      </c>
      <c r="Q284" s="583">
        <f t="shared" si="36"/>
        <v>0</v>
      </c>
      <c r="R284" s="199"/>
      <c r="S284" s="199"/>
    </row>
    <row r="285" spans="1:19" s="1" customFormat="1" ht="12.75">
      <c r="A285" s="395">
        <v>331360</v>
      </c>
      <c r="B285" s="408" t="s">
        <v>56</v>
      </c>
      <c r="C285" s="397"/>
      <c r="D285" s="436"/>
      <c r="E285" s="436"/>
      <c r="F285" s="418"/>
      <c r="G285" s="544">
        <f t="shared" si="32"/>
        <v>0</v>
      </c>
      <c r="H285" s="538">
        <f t="shared" si="33"/>
        <v>0</v>
      </c>
      <c r="I285" s="539">
        <f t="shared" si="34"/>
        <v>0</v>
      </c>
      <c r="J285" s="540"/>
      <c r="K285" s="403"/>
      <c r="L285" s="541">
        <f t="shared" si="35"/>
      </c>
      <c r="M285" s="542"/>
      <c r="N285" s="544">
        <v>0</v>
      </c>
      <c r="O285" s="542"/>
      <c r="P285" s="545">
        <f>BOKFØRT!C285</f>
        <v>0</v>
      </c>
      <c r="Q285" s="583">
        <f t="shared" si="36"/>
        <v>0</v>
      </c>
      <c r="R285" s="199"/>
      <c r="S285" s="199"/>
    </row>
    <row r="286" spans="1:19" s="1" customFormat="1" ht="12.75">
      <c r="A286" s="395">
        <v>331361</v>
      </c>
      <c r="B286" s="408" t="s">
        <v>57</v>
      </c>
      <c r="C286" s="397"/>
      <c r="D286" s="438"/>
      <c r="E286" s="436"/>
      <c r="F286" s="439">
        <f>IF(D286=0,0,+G285)</f>
        <v>0</v>
      </c>
      <c r="G286" s="544">
        <f t="shared" si="32"/>
        <v>0</v>
      </c>
      <c r="H286" s="538">
        <f t="shared" si="33"/>
        <v>0</v>
      </c>
      <c r="I286" s="539">
        <f t="shared" si="34"/>
        <v>0</v>
      </c>
      <c r="J286" s="540"/>
      <c r="K286" s="403"/>
      <c r="L286" s="541">
        <f t="shared" si="35"/>
      </c>
      <c r="M286" s="542"/>
      <c r="N286" s="544">
        <v>0</v>
      </c>
      <c r="O286" s="542"/>
      <c r="P286" s="545">
        <f>BOKFØRT!C286</f>
        <v>0</v>
      </c>
      <c r="Q286" s="583">
        <f t="shared" si="36"/>
        <v>0</v>
      </c>
      <c r="R286" s="199"/>
      <c r="S286" s="199"/>
    </row>
    <row r="287" spans="1:19" s="1" customFormat="1" ht="12.75">
      <c r="A287" s="395">
        <v>331390</v>
      </c>
      <c r="B287" s="408" t="s">
        <v>58</v>
      </c>
      <c r="C287" s="397"/>
      <c r="D287" s="436"/>
      <c r="E287" s="436"/>
      <c r="F287" s="418"/>
      <c r="G287" s="544">
        <f t="shared" si="32"/>
        <v>0</v>
      </c>
      <c r="H287" s="538">
        <f t="shared" si="33"/>
        <v>0</v>
      </c>
      <c r="I287" s="539">
        <f t="shared" si="34"/>
        <v>0</v>
      </c>
      <c r="J287" s="540"/>
      <c r="K287" s="403"/>
      <c r="L287" s="541">
        <f t="shared" si="35"/>
      </c>
      <c r="M287" s="542"/>
      <c r="N287" s="544">
        <v>0</v>
      </c>
      <c r="O287" s="542"/>
      <c r="P287" s="545">
        <f>BOKFØRT!C287</f>
        <v>0</v>
      </c>
      <c r="Q287" s="583">
        <f t="shared" si="36"/>
        <v>0</v>
      </c>
      <c r="R287" s="199"/>
      <c r="S287" s="199"/>
    </row>
    <row r="288" spans="1:19" s="1" customFormat="1" ht="12.75">
      <c r="A288" s="395">
        <v>331391</v>
      </c>
      <c r="B288" s="437" t="s">
        <v>59</v>
      </c>
      <c r="C288" s="397"/>
      <c r="D288" s="438"/>
      <c r="E288" s="436"/>
      <c r="F288" s="439">
        <f>IF(D288=0,0,+G286)</f>
        <v>0</v>
      </c>
      <c r="G288" s="544">
        <f t="shared" si="32"/>
        <v>0</v>
      </c>
      <c r="H288" s="538">
        <f t="shared" si="33"/>
        <v>0</v>
      </c>
      <c r="I288" s="539">
        <f t="shared" si="34"/>
        <v>0</v>
      </c>
      <c r="J288" s="540"/>
      <c r="K288" s="403"/>
      <c r="L288" s="541">
        <f t="shared" si="35"/>
      </c>
      <c r="M288" s="542"/>
      <c r="N288" s="544">
        <v>0</v>
      </c>
      <c r="O288" s="542"/>
      <c r="P288" s="545">
        <f>BOKFØRT!C288</f>
        <v>0</v>
      </c>
      <c r="Q288" s="583">
        <f t="shared" si="36"/>
        <v>0</v>
      </c>
      <c r="R288" s="199"/>
      <c r="S288" s="199"/>
    </row>
    <row r="289" spans="1:19" s="1" customFormat="1" ht="12.75">
      <c r="A289" s="395">
        <v>334092</v>
      </c>
      <c r="B289" s="437" t="s">
        <v>590</v>
      </c>
      <c r="C289" s="397"/>
      <c r="D289" s="436"/>
      <c r="E289" s="436"/>
      <c r="F289" s="418"/>
      <c r="G289" s="544">
        <f t="shared" si="32"/>
        <v>0</v>
      </c>
      <c r="H289" s="538">
        <f t="shared" si="33"/>
        <v>0</v>
      </c>
      <c r="I289" s="539">
        <f t="shared" si="34"/>
        <v>0</v>
      </c>
      <c r="J289" s="540"/>
      <c r="K289" s="403"/>
      <c r="L289" s="541">
        <f t="shared" si="35"/>
      </c>
      <c r="M289" s="542"/>
      <c r="N289" s="544">
        <v>0</v>
      </c>
      <c r="O289" s="542"/>
      <c r="P289" s="545">
        <f>BOKFØRT!C289</f>
        <v>0</v>
      </c>
      <c r="Q289" s="583">
        <f t="shared" si="36"/>
        <v>0</v>
      </c>
      <c r="R289" s="199"/>
      <c r="S289" s="199"/>
    </row>
    <row r="290" spans="1:19" s="1" customFormat="1" ht="12.75">
      <c r="A290" s="395">
        <v>334095</v>
      </c>
      <c r="B290" s="408" t="s">
        <v>554</v>
      </c>
      <c r="C290" s="397"/>
      <c r="D290" s="440"/>
      <c r="E290" s="440"/>
      <c r="F290" s="413"/>
      <c r="G290" s="562">
        <f>SUM(I265:I289)</f>
        <v>0</v>
      </c>
      <c r="H290" s="414"/>
      <c r="I290" s="546" t="s">
        <v>555</v>
      </c>
      <c r="J290" s="546"/>
      <c r="K290" s="573"/>
      <c r="L290" s="541"/>
      <c r="M290" s="542"/>
      <c r="N290" s="562">
        <v>0</v>
      </c>
      <c r="O290" s="542"/>
      <c r="P290" s="545">
        <f>BOKFØRT!C290</f>
        <v>0</v>
      </c>
      <c r="Q290" s="583">
        <f t="shared" si="36"/>
        <v>0</v>
      </c>
      <c r="R290" s="199"/>
      <c r="S290" s="199"/>
    </row>
    <row r="291" spans="1:19" s="1" customFormat="1" ht="12.75">
      <c r="A291" s="395">
        <v>336301</v>
      </c>
      <c r="B291" s="437" t="s">
        <v>60</v>
      </c>
      <c r="C291" s="397"/>
      <c r="D291" s="436"/>
      <c r="E291" s="436"/>
      <c r="F291" s="418"/>
      <c r="G291" s="544">
        <f aca="true" t="shared" si="37" ref="G291:G332">IF(X=0,(IF(Me=0,Sa,Me*Sa)),(IF(Me=0,Sa*X,Me*X*Sa)))</f>
        <v>0</v>
      </c>
      <c r="H291" s="433"/>
      <c r="I291" s="555"/>
      <c r="J291" s="555"/>
      <c r="K291" s="403"/>
      <c r="L291" s="541">
        <f t="shared" si="35"/>
      </c>
      <c r="M291" s="542"/>
      <c r="N291" s="544">
        <v>0</v>
      </c>
      <c r="O291" s="542"/>
      <c r="P291" s="545">
        <f>BOKFØRT!C291</f>
        <v>0</v>
      </c>
      <c r="Q291" s="583">
        <f t="shared" si="36"/>
        <v>0</v>
      </c>
      <c r="R291" s="199"/>
      <c r="S291" s="199"/>
    </row>
    <row r="292" spans="1:19" s="1" customFormat="1" ht="12.75">
      <c r="A292" s="395">
        <v>336311</v>
      </c>
      <c r="B292" s="408" t="s">
        <v>61</v>
      </c>
      <c r="C292" s="397"/>
      <c r="D292" s="436"/>
      <c r="E292" s="436"/>
      <c r="F292" s="418"/>
      <c r="G292" s="544">
        <f t="shared" si="37"/>
        <v>0</v>
      </c>
      <c r="H292" s="433"/>
      <c r="I292" s="555"/>
      <c r="J292" s="555"/>
      <c r="K292" s="403"/>
      <c r="L292" s="541">
        <f t="shared" si="35"/>
      </c>
      <c r="M292" s="542"/>
      <c r="N292" s="544">
        <v>0</v>
      </c>
      <c r="O292" s="542"/>
      <c r="P292" s="545">
        <f>BOKFØRT!C292</f>
        <v>0</v>
      </c>
      <c r="Q292" s="583">
        <f t="shared" si="36"/>
        <v>0</v>
      </c>
      <c r="R292" s="199"/>
      <c r="S292" s="199"/>
    </row>
    <row r="293" spans="1:19" s="1" customFormat="1" ht="12.75">
      <c r="A293" s="395">
        <v>336312</v>
      </c>
      <c r="B293" s="408" t="s">
        <v>62</v>
      </c>
      <c r="C293" s="397"/>
      <c r="D293" s="436"/>
      <c r="E293" s="436"/>
      <c r="F293" s="418"/>
      <c r="G293" s="544">
        <f t="shared" si="37"/>
        <v>0</v>
      </c>
      <c r="H293" s="433"/>
      <c r="I293" s="555"/>
      <c r="J293" s="555"/>
      <c r="K293" s="403"/>
      <c r="L293" s="541">
        <f t="shared" si="35"/>
      </c>
      <c r="M293" s="542"/>
      <c r="N293" s="544">
        <v>0</v>
      </c>
      <c r="O293" s="542"/>
      <c r="P293" s="545">
        <f>BOKFØRT!C293</f>
        <v>0</v>
      </c>
      <c r="Q293" s="583">
        <f t="shared" si="36"/>
        <v>0</v>
      </c>
      <c r="R293" s="199"/>
      <c r="S293" s="199"/>
    </row>
    <row r="294" spans="1:19" s="1" customFormat="1" ht="12.75">
      <c r="A294" s="395">
        <v>336313</v>
      </c>
      <c r="B294" s="408" t="s">
        <v>63</v>
      </c>
      <c r="C294" s="397"/>
      <c r="D294" s="436"/>
      <c r="E294" s="436"/>
      <c r="F294" s="418"/>
      <c r="G294" s="544">
        <f t="shared" si="37"/>
        <v>0</v>
      </c>
      <c r="H294" s="433"/>
      <c r="I294" s="555"/>
      <c r="J294" s="555"/>
      <c r="K294" s="403"/>
      <c r="L294" s="541">
        <f t="shared" si="35"/>
      </c>
      <c r="M294" s="542"/>
      <c r="N294" s="544">
        <v>0</v>
      </c>
      <c r="O294" s="542"/>
      <c r="P294" s="545">
        <f>BOKFØRT!C294</f>
        <v>0</v>
      </c>
      <c r="Q294" s="583">
        <f t="shared" si="36"/>
        <v>0</v>
      </c>
      <c r="R294" s="199"/>
      <c r="S294" s="199"/>
    </row>
    <row r="295" spans="1:19" s="1" customFormat="1" ht="12.75">
      <c r="A295" s="395">
        <v>336314</v>
      </c>
      <c r="B295" s="408" t="s">
        <v>64</v>
      </c>
      <c r="C295" s="397"/>
      <c r="D295" s="436"/>
      <c r="E295" s="436"/>
      <c r="F295" s="418"/>
      <c r="G295" s="544">
        <f t="shared" si="37"/>
        <v>0</v>
      </c>
      <c r="H295" s="433"/>
      <c r="I295" s="555"/>
      <c r="J295" s="555"/>
      <c r="K295" s="403"/>
      <c r="L295" s="541">
        <f t="shared" si="35"/>
      </c>
      <c r="M295" s="542"/>
      <c r="N295" s="544">
        <v>0</v>
      </c>
      <c r="O295" s="542"/>
      <c r="P295" s="545">
        <f>BOKFØRT!C295</f>
        <v>0</v>
      </c>
      <c r="Q295" s="583">
        <f t="shared" si="36"/>
        <v>0</v>
      </c>
      <c r="R295" s="199"/>
      <c r="S295" s="199"/>
    </row>
    <row r="296" spans="1:19" s="1" customFormat="1" ht="12.75">
      <c r="A296" s="395">
        <v>336315</v>
      </c>
      <c r="B296" s="408" t="s">
        <v>65</v>
      </c>
      <c r="C296" s="397"/>
      <c r="D296" s="436"/>
      <c r="E296" s="436"/>
      <c r="F296" s="418"/>
      <c r="G296" s="544">
        <f t="shared" si="37"/>
        <v>0</v>
      </c>
      <c r="H296" s="414"/>
      <c r="I296" s="540"/>
      <c r="J296" s="540"/>
      <c r="K296" s="403"/>
      <c r="L296" s="541">
        <f t="shared" si="35"/>
      </c>
      <c r="M296" s="542"/>
      <c r="N296" s="544">
        <v>0</v>
      </c>
      <c r="O296" s="542"/>
      <c r="P296" s="545">
        <f>BOKFØRT!C296</f>
        <v>0</v>
      </c>
      <c r="Q296" s="583">
        <f t="shared" si="36"/>
        <v>0</v>
      </c>
      <c r="R296" s="199"/>
      <c r="S296" s="199"/>
    </row>
    <row r="297" spans="1:19" s="1" customFormat="1" ht="12.75">
      <c r="A297" s="395">
        <v>336316</v>
      </c>
      <c r="B297" s="408" t="s">
        <v>66</v>
      </c>
      <c r="C297" s="397"/>
      <c r="D297" s="436"/>
      <c r="E297" s="436"/>
      <c r="F297" s="418"/>
      <c r="G297" s="544">
        <f t="shared" si="37"/>
        <v>0</v>
      </c>
      <c r="H297" s="414"/>
      <c r="I297" s="540"/>
      <c r="J297" s="540"/>
      <c r="K297" s="403"/>
      <c r="L297" s="541">
        <f t="shared" si="35"/>
      </c>
      <c r="M297" s="542"/>
      <c r="N297" s="544">
        <v>0</v>
      </c>
      <c r="O297" s="542"/>
      <c r="P297" s="545">
        <f>BOKFØRT!C297</f>
        <v>0</v>
      </c>
      <c r="Q297" s="583">
        <f t="shared" si="36"/>
        <v>0</v>
      </c>
      <c r="R297" s="199"/>
      <c r="S297" s="199"/>
    </row>
    <row r="298" spans="1:19" s="1" customFormat="1" ht="12.75">
      <c r="A298" s="395">
        <v>336317</v>
      </c>
      <c r="B298" s="408" t="s">
        <v>67</v>
      </c>
      <c r="C298" s="397"/>
      <c r="D298" s="436"/>
      <c r="E298" s="436"/>
      <c r="F298" s="418"/>
      <c r="G298" s="544">
        <f t="shared" si="37"/>
        <v>0</v>
      </c>
      <c r="H298" s="414"/>
      <c r="I298" s="540"/>
      <c r="J298" s="540"/>
      <c r="K298" s="403"/>
      <c r="L298" s="541">
        <f t="shared" si="35"/>
      </c>
      <c r="M298" s="542"/>
      <c r="N298" s="544">
        <v>0</v>
      </c>
      <c r="O298" s="542"/>
      <c r="P298" s="545">
        <f>BOKFØRT!C298</f>
        <v>0</v>
      </c>
      <c r="Q298" s="583">
        <f t="shared" si="36"/>
        <v>0</v>
      </c>
      <c r="R298" s="199"/>
      <c r="S298" s="199"/>
    </row>
    <row r="299" spans="1:19" s="1" customFormat="1" ht="12.75">
      <c r="A299" s="395">
        <v>336318</v>
      </c>
      <c r="B299" s="408" t="s">
        <v>68</v>
      </c>
      <c r="C299" s="397"/>
      <c r="D299" s="436"/>
      <c r="E299" s="436"/>
      <c r="F299" s="418"/>
      <c r="G299" s="544">
        <f t="shared" si="37"/>
        <v>0</v>
      </c>
      <c r="H299" s="414"/>
      <c r="I299" s="540"/>
      <c r="J299" s="540"/>
      <c r="K299" s="403"/>
      <c r="L299" s="541">
        <f t="shared" si="35"/>
      </c>
      <c r="M299" s="542"/>
      <c r="N299" s="544">
        <v>0</v>
      </c>
      <c r="O299" s="542"/>
      <c r="P299" s="545">
        <f>BOKFØRT!C299</f>
        <v>0</v>
      </c>
      <c r="Q299" s="583">
        <f t="shared" si="36"/>
        <v>0</v>
      </c>
      <c r="R299" s="199"/>
      <c r="S299" s="199"/>
    </row>
    <row r="300" spans="1:19" s="1" customFormat="1" ht="12.75">
      <c r="A300" s="395">
        <v>336319</v>
      </c>
      <c r="B300" s="408" t="s">
        <v>69</v>
      </c>
      <c r="C300" s="397"/>
      <c r="D300" s="436"/>
      <c r="E300" s="436"/>
      <c r="F300" s="418"/>
      <c r="G300" s="544">
        <f t="shared" si="37"/>
        <v>0</v>
      </c>
      <c r="H300" s="414"/>
      <c r="I300" s="540"/>
      <c r="J300" s="540"/>
      <c r="K300" s="403"/>
      <c r="L300" s="541">
        <f t="shared" si="35"/>
      </c>
      <c r="M300" s="542"/>
      <c r="N300" s="544">
        <v>0</v>
      </c>
      <c r="O300" s="542"/>
      <c r="P300" s="545">
        <f>BOKFØRT!C300</f>
        <v>0</v>
      </c>
      <c r="Q300" s="583">
        <f t="shared" si="36"/>
        <v>0</v>
      </c>
      <c r="R300" s="199"/>
      <c r="S300" s="199"/>
    </row>
    <row r="301" spans="1:19" s="1" customFormat="1" ht="12.75">
      <c r="A301" s="395">
        <v>336320</v>
      </c>
      <c r="B301" s="408" t="s">
        <v>70</v>
      </c>
      <c r="C301" s="397"/>
      <c r="D301" s="436"/>
      <c r="E301" s="436"/>
      <c r="F301" s="418"/>
      <c r="G301" s="544">
        <f t="shared" si="37"/>
        <v>0</v>
      </c>
      <c r="H301" s="414"/>
      <c r="I301" s="540"/>
      <c r="J301" s="540"/>
      <c r="K301" s="403"/>
      <c r="L301" s="541">
        <f t="shared" si="35"/>
      </c>
      <c r="M301" s="542"/>
      <c r="N301" s="544">
        <v>0</v>
      </c>
      <c r="O301" s="542"/>
      <c r="P301" s="545">
        <f>BOKFØRT!C301</f>
        <v>0</v>
      </c>
      <c r="Q301" s="583">
        <f t="shared" si="36"/>
        <v>0</v>
      </c>
      <c r="R301" s="199"/>
      <c r="S301" s="199"/>
    </row>
    <row r="302" spans="1:19" s="1" customFormat="1" ht="12.75">
      <c r="A302" s="395">
        <v>336321</v>
      </c>
      <c r="B302" s="408" t="s">
        <v>71</v>
      </c>
      <c r="C302" s="397"/>
      <c r="D302" s="436"/>
      <c r="E302" s="436"/>
      <c r="F302" s="418"/>
      <c r="G302" s="544">
        <f t="shared" si="37"/>
        <v>0</v>
      </c>
      <c r="H302" s="414"/>
      <c r="I302" s="540"/>
      <c r="J302" s="540"/>
      <c r="K302" s="403"/>
      <c r="L302" s="541">
        <f t="shared" si="35"/>
      </c>
      <c r="M302" s="542"/>
      <c r="N302" s="544">
        <v>0</v>
      </c>
      <c r="O302" s="542"/>
      <c r="P302" s="545">
        <f>BOKFØRT!C302</f>
        <v>0</v>
      </c>
      <c r="Q302" s="583">
        <f t="shared" si="36"/>
        <v>0</v>
      </c>
      <c r="R302" s="199"/>
      <c r="S302" s="199"/>
    </row>
    <row r="303" spans="1:19" s="1" customFormat="1" ht="12.75">
      <c r="A303" s="395">
        <v>336323</v>
      </c>
      <c r="B303" s="408" t="s">
        <v>72</v>
      </c>
      <c r="C303" s="397"/>
      <c r="D303" s="436"/>
      <c r="E303" s="436"/>
      <c r="F303" s="418"/>
      <c r="G303" s="544">
        <f t="shared" si="37"/>
        <v>0</v>
      </c>
      <c r="H303" s="414"/>
      <c r="I303" s="540"/>
      <c r="J303" s="540"/>
      <c r="K303" s="403"/>
      <c r="L303" s="541">
        <f t="shared" si="35"/>
      </c>
      <c r="M303" s="542"/>
      <c r="N303" s="544">
        <v>0</v>
      </c>
      <c r="O303" s="542"/>
      <c r="P303" s="545">
        <f>BOKFØRT!C303</f>
        <v>0</v>
      </c>
      <c r="Q303" s="583">
        <f t="shared" si="36"/>
        <v>0</v>
      </c>
      <c r="R303" s="199"/>
      <c r="S303" s="199"/>
    </row>
    <row r="304" spans="1:19" s="1" customFormat="1" ht="12.75">
      <c r="A304" s="395">
        <v>336325</v>
      </c>
      <c r="B304" s="408" t="s">
        <v>73</v>
      </c>
      <c r="C304" s="397"/>
      <c r="D304" s="436"/>
      <c r="E304" s="436"/>
      <c r="F304" s="418"/>
      <c r="G304" s="544">
        <f t="shared" si="37"/>
        <v>0</v>
      </c>
      <c r="H304" s="414"/>
      <c r="I304" s="540"/>
      <c r="J304" s="540"/>
      <c r="K304" s="403"/>
      <c r="L304" s="541">
        <f t="shared" si="35"/>
      </c>
      <c r="M304" s="542"/>
      <c r="N304" s="544">
        <v>0</v>
      </c>
      <c r="O304" s="542"/>
      <c r="P304" s="545">
        <f>BOKFØRT!C304</f>
        <v>0</v>
      </c>
      <c r="Q304" s="583">
        <f t="shared" si="36"/>
        <v>0</v>
      </c>
      <c r="R304" s="199"/>
      <c r="S304" s="199"/>
    </row>
    <row r="305" spans="1:19" s="1" customFormat="1" ht="12.75">
      <c r="A305" s="395">
        <v>336327</v>
      </c>
      <c r="B305" s="408" t="s">
        <v>74</v>
      </c>
      <c r="C305" s="397"/>
      <c r="D305" s="436"/>
      <c r="E305" s="436"/>
      <c r="F305" s="418"/>
      <c r="G305" s="544">
        <f t="shared" si="37"/>
        <v>0</v>
      </c>
      <c r="H305" s="414"/>
      <c r="I305" s="540"/>
      <c r="J305" s="540"/>
      <c r="K305" s="403"/>
      <c r="L305" s="541">
        <f t="shared" si="35"/>
      </c>
      <c r="M305" s="542"/>
      <c r="N305" s="544">
        <v>0</v>
      </c>
      <c r="O305" s="542"/>
      <c r="P305" s="545">
        <f>BOKFØRT!C305</f>
        <v>0</v>
      </c>
      <c r="Q305" s="583">
        <f t="shared" si="36"/>
        <v>0</v>
      </c>
      <c r="R305" s="199"/>
      <c r="S305" s="199"/>
    </row>
    <row r="306" spans="1:19" s="1" customFormat="1" ht="12.75">
      <c r="A306" s="395">
        <v>336330</v>
      </c>
      <c r="B306" s="408" t="s">
        <v>75</v>
      </c>
      <c r="C306" s="397"/>
      <c r="D306" s="436"/>
      <c r="E306" s="436"/>
      <c r="F306" s="418"/>
      <c r="G306" s="544">
        <f t="shared" si="37"/>
        <v>0</v>
      </c>
      <c r="H306" s="414"/>
      <c r="I306" s="540"/>
      <c r="J306" s="540"/>
      <c r="K306" s="403"/>
      <c r="L306" s="541">
        <f t="shared" si="35"/>
      </c>
      <c r="M306" s="542"/>
      <c r="N306" s="544">
        <v>0</v>
      </c>
      <c r="O306" s="542"/>
      <c r="P306" s="545">
        <f>BOKFØRT!C306</f>
        <v>0</v>
      </c>
      <c r="Q306" s="583">
        <f t="shared" si="36"/>
        <v>0</v>
      </c>
      <c r="R306" s="199"/>
      <c r="S306" s="199"/>
    </row>
    <row r="307" spans="1:19" s="1" customFormat="1" ht="12.75">
      <c r="A307" s="395">
        <v>336332</v>
      </c>
      <c r="B307" s="408" t="s">
        <v>76</v>
      </c>
      <c r="C307" s="397"/>
      <c r="D307" s="436"/>
      <c r="E307" s="436"/>
      <c r="F307" s="418"/>
      <c r="G307" s="544">
        <f t="shared" si="37"/>
        <v>0</v>
      </c>
      <c r="H307" s="414"/>
      <c r="I307" s="540"/>
      <c r="J307" s="540"/>
      <c r="K307" s="403"/>
      <c r="L307" s="541">
        <f t="shared" si="35"/>
      </c>
      <c r="M307" s="542"/>
      <c r="N307" s="544">
        <v>0</v>
      </c>
      <c r="O307" s="542"/>
      <c r="P307" s="545">
        <f>BOKFØRT!C307</f>
        <v>0</v>
      </c>
      <c r="Q307" s="583">
        <f t="shared" si="36"/>
        <v>0</v>
      </c>
      <c r="R307" s="199"/>
      <c r="S307" s="199"/>
    </row>
    <row r="308" spans="1:19" s="1" customFormat="1" ht="12.75">
      <c r="A308" s="395">
        <v>336334</v>
      </c>
      <c r="B308" s="408" t="s">
        <v>77</v>
      </c>
      <c r="C308" s="397"/>
      <c r="D308" s="436"/>
      <c r="E308" s="436"/>
      <c r="F308" s="418"/>
      <c r="G308" s="544">
        <f t="shared" si="37"/>
        <v>0</v>
      </c>
      <c r="H308" s="414"/>
      <c r="I308" s="540"/>
      <c r="J308" s="540"/>
      <c r="K308" s="403"/>
      <c r="L308" s="541">
        <f t="shared" si="35"/>
      </c>
      <c r="M308" s="542"/>
      <c r="N308" s="544">
        <v>0</v>
      </c>
      <c r="O308" s="542"/>
      <c r="P308" s="545">
        <f>BOKFØRT!C308</f>
        <v>0</v>
      </c>
      <c r="Q308" s="583">
        <f t="shared" si="36"/>
        <v>0</v>
      </c>
      <c r="R308" s="199"/>
      <c r="S308" s="199"/>
    </row>
    <row r="309" spans="1:19" s="1" customFormat="1" ht="12.75">
      <c r="A309" s="395">
        <v>336341</v>
      </c>
      <c r="B309" s="408" t="s">
        <v>78</v>
      </c>
      <c r="C309" s="397"/>
      <c r="D309" s="436"/>
      <c r="E309" s="436"/>
      <c r="F309" s="418"/>
      <c r="G309" s="544">
        <f t="shared" si="37"/>
        <v>0</v>
      </c>
      <c r="H309" s="414"/>
      <c r="I309" s="540"/>
      <c r="J309" s="540"/>
      <c r="K309" s="403"/>
      <c r="L309" s="541">
        <f t="shared" si="35"/>
      </c>
      <c r="M309" s="542"/>
      <c r="N309" s="544">
        <v>0</v>
      </c>
      <c r="O309" s="542"/>
      <c r="P309" s="545">
        <f>BOKFØRT!C309</f>
        <v>0</v>
      </c>
      <c r="Q309" s="583">
        <f t="shared" si="36"/>
        <v>0</v>
      </c>
      <c r="R309" s="199"/>
      <c r="S309" s="199"/>
    </row>
    <row r="310" spans="1:19" s="1" customFormat="1" ht="12.75">
      <c r="A310" s="395">
        <v>336342</v>
      </c>
      <c r="B310" s="408" t="s">
        <v>79</v>
      </c>
      <c r="C310" s="397"/>
      <c r="D310" s="436"/>
      <c r="E310" s="436"/>
      <c r="F310" s="418"/>
      <c r="G310" s="544">
        <f t="shared" si="37"/>
        <v>0</v>
      </c>
      <c r="H310" s="414"/>
      <c r="I310" s="540"/>
      <c r="J310" s="540"/>
      <c r="K310" s="403"/>
      <c r="L310" s="541">
        <f t="shared" si="35"/>
      </c>
      <c r="M310" s="542"/>
      <c r="N310" s="544">
        <v>0</v>
      </c>
      <c r="O310" s="542"/>
      <c r="P310" s="545">
        <f>BOKFØRT!C310</f>
        <v>0</v>
      </c>
      <c r="Q310" s="583">
        <f t="shared" si="36"/>
        <v>0</v>
      </c>
      <c r="R310" s="199"/>
      <c r="S310" s="199"/>
    </row>
    <row r="311" spans="1:19" s="1" customFormat="1" ht="12.75">
      <c r="A311" s="395">
        <v>336350</v>
      </c>
      <c r="B311" s="408" t="s">
        <v>80</v>
      </c>
      <c r="C311" s="397"/>
      <c r="D311" s="436"/>
      <c r="E311" s="436"/>
      <c r="F311" s="418"/>
      <c r="G311" s="544">
        <f t="shared" si="37"/>
        <v>0</v>
      </c>
      <c r="H311" s="414"/>
      <c r="I311" s="540"/>
      <c r="J311" s="540"/>
      <c r="K311" s="403"/>
      <c r="L311" s="541">
        <f t="shared" si="35"/>
      </c>
      <c r="M311" s="542"/>
      <c r="N311" s="544">
        <v>0</v>
      </c>
      <c r="O311" s="542"/>
      <c r="P311" s="545">
        <f>BOKFØRT!C311</f>
        <v>0</v>
      </c>
      <c r="Q311" s="583">
        <f t="shared" si="36"/>
        <v>0</v>
      </c>
      <c r="R311" s="199"/>
      <c r="S311" s="199"/>
    </row>
    <row r="312" spans="1:19" s="1" customFormat="1" ht="12.75">
      <c r="A312" s="395">
        <v>336351</v>
      </c>
      <c r="B312" s="437" t="s">
        <v>0</v>
      </c>
      <c r="C312" s="397"/>
      <c r="D312" s="436"/>
      <c r="E312" s="436"/>
      <c r="F312" s="418"/>
      <c r="G312" s="544">
        <f t="shared" si="37"/>
        <v>0</v>
      </c>
      <c r="H312" s="414"/>
      <c r="I312" s="546"/>
      <c r="J312" s="546"/>
      <c r="K312" s="403"/>
      <c r="L312" s="541">
        <f t="shared" si="35"/>
      </c>
      <c r="M312" s="542"/>
      <c r="N312" s="544">
        <v>0</v>
      </c>
      <c r="O312" s="542"/>
      <c r="P312" s="545">
        <f>BOKFØRT!C312</f>
        <v>0</v>
      </c>
      <c r="Q312" s="583">
        <f t="shared" si="36"/>
        <v>0</v>
      </c>
      <c r="R312" s="199"/>
      <c r="S312" s="199"/>
    </row>
    <row r="313" spans="1:19" s="1" customFormat="1" ht="12.75">
      <c r="A313" s="395">
        <v>336360</v>
      </c>
      <c r="B313" s="408" t="s">
        <v>81</v>
      </c>
      <c r="C313" s="397"/>
      <c r="D313" s="436"/>
      <c r="E313" s="436"/>
      <c r="F313" s="418"/>
      <c r="G313" s="544">
        <f t="shared" si="37"/>
        <v>0</v>
      </c>
      <c r="H313" s="414"/>
      <c r="I313" s="540"/>
      <c r="J313" s="540"/>
      <c r="K313" s="403"/>
      <c r="L313" s="541">
        <f t="shared" si="35"/>
      </c>
      <c r="M313" s="542"/>
      <c r="N313" s="544">
        <v>0</v>
      </c>
      <c r="O313" s="542"/>
      <c r="P313" s="545">
        <f>BOKFØRT!C313</f>
        <v>0</v>
      </c>
      <c r="Q313" s="583">
        <f t="shared" si="36"/>
        <v>0</v>
      </c>
      <c r="R313" s="199"/>
      <c r="S313" s="199"/>
    </row>
    <row r="314" spans="1:19" s="1" customFormat="1" ht="12.75">
      <c r="A314" s="395">
        <v>336361</v>
      </c>
      <c r="B314" s="408" t="s">
        <v>82</v>
      </c>
      <c r="C314" s="397"/>
      <c r="D314" s="436"/>
      <c r="E314" s="436"/>
      <c r="F314" s="418"/>
      <c r="G314" s="544">
        <f t="shared" si="37"/>
        <v>0</v>
      </c>
      <c r="H314" s="414"/>
      <c r="I314" s="540"/>
      <c r="J314" s="540"/>
      <c r="K314" s="403"/>
      <c r="L314" s="541">
        <f t="shared" si="35"/>
      </c>
      <c r="M314" s="542"/>
      <c r="N314" s="544">
        <v>0</v>
      </c>
      <c r="O314" s="542"/>
      <c r="P314" s="545">
        <f>BOKFØRT!C314</f>
        <v>0</v>
      </c>
      <c r="Q314" s="583">
        <f t="shared" si="36"/>
        <v>0</v>
      </c>
      <c r="R314" s="199"/>
      <c r="S314" s="199"/>
    </row>
    <row r="315" spans="1:19" s="1" customFormat="1" ht="12.75">
      <c r="A315" s="395">
        <v>336362</v>
      </c>
      <c r="B315" s="408" t="s">
        <v>83</v>
      </c>
      <c r="C315" s="397"/>
      <c r="D315" s="436"/>
      <c r="E315" s="436"/>
      <c r="F315" s="418"/>
      <c r="G315" s="544">
        <f t="shared" si="37"/>
        <v>0</v>
      </c>
      <c r="H315" s="414"/>
      <c r="I315" s="540"/>
      <c r="J315" s="540"/>
      <c r="K315" s="403"/>
      <c r="L315" s="541">
        <f t="shared" si="35"/>
      </c>
      <c r="M315" s="542"/>
      <c r="N315" s="544">
        <v>0</v>
      </c>
      <c r="O315" s="542"/>
      <c r="P315" s="545">
        <f>BOKFØRT!C315</f>
        <v>0</v>
      </c>
      <c r="Q315" s="583">
        <f t="shared" si="36"/>
        <v>0</v>
      </c>
      <c r="R315" s="199"/>
      <c r="S315" s="199"/>
    </row>
    <row r="316" spans="1:19" s="1" customFormat="1" ht="12.75">
      <c r="A316" s="395">
        <v>338673</v>
      </c>
      <c r="B316" s="408" t="s">
        <v>370</v>
      </c>
      <c r="C316" s="397"/>
      <c r="D316" s="436"/>
      <c r="E316" s="436"/>
      <c r="F316" s="418"/>
      <c r="G316" s="544">
        <f t="shared" si="37"/>
        <v>0</v>
      </c>
      <c r="H316" s="414"/>
      <c r="I316" s="540"/>
      <c r="J316" s="540"/>
      <c r="K316" s="403"/>
      <c r="L316" s="541">
        <f t="shared" si="35"/>
      </c>
      <c r="M316" s="542"/>
      <c r="N316" s="544">
        <v>0</v>
      </c>
      <c r="O316" s="542"/>
      <c r="P316" s="545">
        <f>BOKFØRT!C316</f>
        <v>0</v>
      </c>
      <c r="Q316" s="583">
        <f t="shared" si="36"/>
        <v>0</v>
      </c>
      <c r="R316" s="199"/>
      <c r="S316" s="199"/>
    </row>
    <row r="317" spans="1:19" s="1" customFormat="1" ht="12.75">
      <c r="A317" s="395">
        <v>339010</v>
      </c>
      <c r="B317" s="408" t="s">
        <v>556</v>
      </c>
      <c r="C317" s="397"/>
      <c r="D317" s="436"/>
      <c r="E317" s="436"/>
      <c r="F317" s="418"/>
      <c r="G317" s="544">
        <f t="shared" si="37"/>
        <v>0</v>
      </c>
      <c r="H317" s="414"/>
      <c r="I317" s="540"/>
      <c r="J317" s="540"/>
      <c r="K317" s="403"/>
      <c r="L317" s="541">
        <f t="shared" si="35"/>
      </c>
      <c r="M317" s="542"/>
      <c r="N317" s="544">
        <v>0</v>
      </c>
      <c r="O317" s="542"/>
      <c r="P317" s="545">
        <f>BOKFØRT!C317</f>
        <v>0</v>
      </c>
      <c r="Q317" s="583">
        <f t="shared" si="36"/>
        <v>0</v>
      </c>
      <c r="R317" s="199"/>
      <c r="S317" s="199"/>
    </row>
    <row r="318" spans="1:19" s="1" customFormat="1" ht="12.75">
      <c r="A318" s="395">
        <v>339011</v>
      </c>
      <c r="B318" s="408" t="s">
        <v>11</v>
      </c>
      <c r="C318" s="397"/>
      <c r="D318" s="436"/>
      <c r="E318" s="436"/>
      <c r="F318" s="418"/>
      <c r="G318" s="544">
        <f t="shared" si="37"/>
        <v>0</v>
      </c>
      <c r="H318" s="414"/>
      <c r="I318" s="540"/>
      <c r="J318" s="540"/>
      <c r="K318" s="403"/>
      <c r="L318" s="541">
        <f t="shared" si="35"/>
      </c>
      <c r="M318" s="542"/>
      <c r="N318" s="544">
        <v>0</v>
      </c>
      <c r="O318" s="542"/>
      <c r="P318" s="545">
        <f>BOKFØRT!C318</f>
        <v>0</v>
      </c>
      <c r="Q318" s="583">
        <f t="shared" si="36"/>
        <v>0</v>
      </c>
      <c r="R318" s="199"/>
      <c r="S318" s="199"/>
    </row>
    <row r="319" spans="1:19" s="1" customFormat="1" ht="12.75">
      <c r="A319" s="395">
        <v>339023</v>
      </c>
      <c r="B319" s="408" t="s">
        <v>559</v>
      </c>
      <c r="C319" s="397"/>
      <c r="D319" s="436"/>
      <c r="E319" s="436"/>
      <c r="F319" s="418"/>
      <c r="G319" s="544">
        <f t="shared" si="37"/>
        <v>0</v>
      </c>
      <c r="H319" s="414"/>
      <c r="I319" s="540"/>
      <c r="J319" s="540"/>
      <c r="K319" s="403"/>
      <c r="L319" s="541">
        <f t="shared" si="35"/>
      </c>
      <c r="M319" s="542"/>
      <c r="N319" s="544">
        <v>0</v>
      </c>
      <c r="O319" s="542"/>
      <c r="P319" s="545">
        <f>BOKFØRT!C319</f>
        <v>0</v>
      </c>
      <c r="Q319" s="583">
        <f t="shared" si="36"/>
        <v>0</v>
      </c>
      <c r="R319" s="199"/>
      <c r="S319" s="199"/>
    </row>
    <row r="320" spans="1:19" s="1" customFormat="1" ht="12.75">
      <c r="A320" s="395">
        <v>339025</v>
      </c>
      <c r="B320" s="408" t="s">
        <v>560</v>
      </c>
      <c r="C320" s="397"/>
      <c r="D320" s="436"/>
      <c r="E320" s="436"/>
      <c r="F320" s="418"/>
      <c r="G320" s="544">
        <f t="shared" si="37"/>
        <v>0</v>
      </c>
      <c r="H320" s="414"/>
      <c r="I320" s="540"/>
      <c r="J320" s="540"/>
      <c r="K320" s="403"/>
      <c r="L320" s="541">
        <f t="shared" si="35"/>
      </c>
      <c r="M320" s="542"/>
      <c r="N320" s="544">
        <v>0</v>
      </c>
      <c r="O320" s="542"/>
      <c r="P320" s="545">
        <f>BOKFØRT!C320</f>
        <v>0</v>
      </c>
      <c r="Q320" s="583">
        <f t="shared" si="36"/>
        <v>0</v>
      </c>
      <c r="R320" s="199"/>
      <c r="S320" s="199"/>
    </row>
    <row r="321" spans="1:19" s="1" customFormat="1" ht="12.75">
      <c r="A321" s="395">
        <v>339027</v>
      </c>
      <c r="B321" s="408" t="s">
        <v>15</v>
      </c>
      <c r="C321" s="397"/>
      <c r="D321" s="436"/>
      <c r="E321" s="436"/>
      <c r="F321" s="418"/>
      <c r="G321" s="544">
        <f t="shared" si="37"/>
        <v>0</v>
      </c>
      <c r="H321" s="414"/>
      <c r="I321" s="540"/>
      <c r="J321" s="540"/>
      <c r="K321" s="403"/>
      <c r="L321" s="541">
        <f t="shared" si="35"/>
      </c>
      <c r="M321" s="542"/>
      <c r="N321" s="544">
        <v>0</v>
      </c>
      <c r="O321" s="542"/>
      <c r="P321" s="545">
        <f>BOKFØRT!C321</f>
        <v>0</v>
      </c>
      <c r="Q321" s="583">
        <f t="shared" si="36"/>
        <v>0</v>
      </c>
      <c r="R321" s="199"/>
      <c r="S321" s="199"/>
    </row>
    <row r="322" spans="1:19" s="1" customFormat="1" ht="12.75">
      <c r="A322" s="395">
        <v>339029</v>
      </c>
      <c r="B322" s="408" t="s">
        <v>561</v>
      </c>
      <c r="C322" s="397"/>
      <c r="D322" s="436"/>
      <c r="E322" s="436"/>
      <c r="F322" s="418"/>
      <c r="G322" s="544">
        <f t="shared" si="37"/>
        <v>0</v>
      </c>
      <c r="H322" s="414"/>
      <c r="I322" s="540"/>
      <c r="J322" s="540"/>
      <c r="K322" s="403"/>
      <c r="L322" s="541">
        <f t="shared" si="35"/>
      </c>
      <c r="M322" s="542"/>
      <c r="N322" s="544">
        <v>0</v>
      </c>
      <c r="O322" s="542"/>
      <c r="P322" s="545">
        <f>BOKFØRT!C322</f>
        <v>0</v>
      </c>
      <c r="Q322" s="583">
        <f t="shared" si="36"/>
        <v>0</v>
      </c>
      <c r="R322" s="199"/>
      <c r="S322" s="199"/>
    </row>
    <row r="323" spans="1:19" s="1" customFormat="1" ht="12.75">
      <c r="A323" s="395">
        <v>339040</v>
      </c>
      <c r="B323" s="408" t="s">
        <v>769</v>
      </c>
      <c r="C323" s="397"/>
      <c r="D323" s="436"/>
      <c r="E323" s="436"/>
      <c r="F323" s="418"/>
      <c r="G323" s="544">
        <f t="shared" si="37"/>
        <v>0</v>
      </c>
      <c r="H323" s="414"/>
      <c r="I323" s="540"/>
      <c r="J323" s="540"/>
      <c r="K323" s="403"/>
      <c r="L323" s="541">
        <f t="shared" si="35"/>
      </c>
      <c r="M323" s="542"/>
      <c r="N323" s="544">
        <v>0</v>
      </c>
      <c r="O323" s="542"/>
      <c r="P323" s="545">
        <f>BOKFØRT!C323</f>
        <v>0</v>
      </c>
      <c r="Q323" s="583">
        <f t="shared" si="36"/>
        <v>0</v>
      </c>
      <c r="R323" s="199"/>
      <c r="S323" s="199"/>
    </row>
    <row r="324" spans="1:19" s="1" customFormat="1" ht="12.75">
      <c r="A324" s="395">
        <v>339050</v>
      </c>
      <c r="B324" s="408" t="s">
        <v>17</v>
      </c>
      <c r="C324" s="397"/>
      <c r="D324" s="436"/>
      <c r="E324" s="436"/>
      <c r="F324" s="418"/>
      <c r="G324" s="544">
        <f t="shared" si="37"/>
        <v>0</v>
      </c>
      <c r="H324" s="414"/>
      <c r="I324" s="540"/>
      <c r="J324" s="540"/>
      <c r="K324" s="403"/>
      <c r="L324" s="541">
        <f t="shared" si="35"/>
      </c>
      <c r="M324" s="542"/>
      <c r="N324" s="544">
        <v>0</v>
      </c>
      <c r="O324" s="542"/>
      <c r="P324" s="545">
        <f>BOKFØRT!C324</f>
        <v>0</v>
      </c>
      <c r="Q324" s="583">
        <f t="shared" si="36"/>
        <v>0</v>
      </c>
      <c r="R324" s="199"/>
      <c r="S324" s="199"/>
    </row>
    <row r="325" spans="1:19" s="1" customFormat="1" ht="12.75">
      <c r="A325" s="395">
        <v>339051</v>
      </c>
      <c r="B325" s="408" t="s">
        <v>84</v>
      </c>
      <c r="C325" s="397"/>
      <c r="D325" s="436"/>
      <c r="E325" s="436"/>
      <c r="F325" s="418"/>
      <c r="G325" s="544">
        <f t="shared" si="37"/>
        <v>0</v>
      </c>
      <c r="H325" s="414"/>
      <c r="I325" s="540"/>
      <c r="J325" s="540"/>
      <c r="K325" s="403"/>
      <c r="L325" s="541">
        <f t="shared" si="35"/>
      </c>
      <c r="M325" s="542"/>
      <c r="N325" s="544">
        <v>0</v>
      </c>
      <c r="O325" s="542"/>
      <c r="P325" s="545">
        <f>BOKFØRT!C325</f>
        <v>0</v>
      </c>
      <c r="Q325" s="583">
        <f t="shared" si="36"/>
        <v>0</v>
      </c>
      <c r="R325" s="199"/>
      <c r="S325" s="199"/>
    </row>
    <row r="326" spans="1:19" s="1" customFormat="1" ht="12.75">
      <c r="A326" s="395">
        <v>339052</v>
      </c>
      <c r="B326" s="408" t="s">
        <v>85</v>
      </c>
      <c r="C326" s="397"/>
      <c r="D326" s="436"/>
      <c r="E326" s="436"/>
      <c r="F326" s="418"/>
      <c r="G326" s="544">
        <f t="shared" si="37"/>
        <v>0</v>
      </c>
      <c r="H326" s="414"/>
      <c r="I326" s="540"/>
      <c r="J326" s="540"/>
      <c r="K326" s="403"/>
      <c r="L326" s="541">
        <f t="shared" si="35"/>
      </c>
      <c r="M326" s="542"/>
      <c r="N326" s="544">
        <v>0</v>
      </c>
      <c r="O326" s="542"/>
      <c r="P326" s="545">
        <f>BOKFØRT!C326</f>
        <v>0</v>
      </c>
      <c r="Q326" s="583">
        <f t="shared" si="36"/>
        <v>0</v>
      </c>
      <c r="R326" s="199"/>
      <c r="S326" s="199"/>
    </row>
    <row r="327" spans="1:19" s="1" customFormat="1" ht="12.75">
      <c r="A327" s="395">
        <v>339053</v>
      </c>
      <c r="B327" s="408" t="s">
        <v>86</v>
      </c>
      <c r="C327" s="397"/>
      <c r="D327" s="436"/>
      <c r="E327" s="436"/>
      <c r="F327" s="418"/>
      <c r="G327" s="544">
        <f t="shared" si="37"/>
        <v>0</v>
      </c>
      <c r="H327" s="414"/>
      <c r="I327" s="540"/>
      <c r="J327" s="540"/>
      <c r="K327" s="403"/>
      <c r="L327" s="541">
        <f t="shared" si="35"/>
      </c>
      <c r="M327" s="542"/>
      <c r="N327" s="544">
        <v>0</v>
      </c>
      <c r="O327" s="542"/>
      <c r="P327" s="545">
        <f>BOKFØRT!C327</f>
        <v>0</v>
      </c>
      <c r="Q327" s="583">
        <f t="shared" si="36"/>
        <v>0</v>
      </c>
      <c r="R327" s="199"/>
      <c r="S327" s="199"/>
    </row>
    <row r="328" spans="1:19" s="1" customFormat="1" ht="12.75">
      <c r="A328" s="395">
        <v>339054</v>
      </c>
      <c r="B328" s="408" t="s">
        <v>87</v>
      </c>
      <c r="C328" s="397"/>
      <c r="D328" s="436"/>
      <c r="E328" s="436"/>
      <c r="F328" s="418"/>
      <c r="G328" s="544">
        <f t="shared" si="37"/>
        <v>0</v>
      </c>
      <c r="H328" s="414"/>
      <c r="I328" s="540"/>
      <c r="J328" s="540"/>
      <c r="K328" s="403"/>
      <c r="L328" s="541">
        <f t="shared" si="35"/>
      </c>
      <c r="M328" s="542"/>
      <c r="N328" s="544">
        <v>0</v>
      </c>
      <c r="O328" s="542"/>
      <c r="P328" s="545">
        <f>BOKFØRT!C328</f>
        <v>0</v>
      </c>
      <c r="Q328" s="583">
        <f t="shared" si="36"/>
        <v>0</v>
      </c>
      <c r="R328" s="199"/>
      <c r="S328" s="199"/>
    </row>
    <row r="329" spans="1:19" s="1" customFormat="1" ht="12.75">
      <c r="A329" s="395">
        <v>339055</v>
      </c>
      <c r="B329" s="408" t="s">
        <v>18</v>
      </c>
      <c r="C329" s="397"/>
      <c r="D329" s="436"/>
      <c r="E329" s="436"/>
      <c r="F329" s="418"/>
      <c r="G329" s="544">
        <f t="shared" si="37"/>
        <v>0</v>
      </c>
      <c r="H329" s="414"/>
      <c r="I329" s="540"/>
      <c r="J329" s="540"/>
      <c r="K329" s="403"/>
      <c r="L329" s="541">
        <f>IF(FMVAE&lt;&gt;"",(Sum*mva)-Sum,"")</f>
      </c>
      <c r="M329" s="542"/>
      <c r="N329" s="544">
        <v>0</v>
      </c>
      <c r="O329" s="542"/>
      <c r="P329" s="545">
        <f>BOKFØRT!C329</f>
        <v>0</v>
      </c>
      <c r="Q329" s="583">
        <f>G329+N329+P329</f>
        <v>0</v>
      </c>
      <c r="R329" s="199"/>
      <c r="S329" s="199"/>
    </row>
    <row r="330" spans="1:19" s="1" customFormat="1" ht="12.75">
      <c r="A330" s="395">
        <v>339060</v>
      </c>
      <c r="B330" s="408" t="s">
        <v>562</v>
      </c>
      <c r="C330" s="397"/>
      <c r="D330" s="436"/>
      <c r="E330" s="436"/>
      <c r="F330" s="418"/>
      <c r="G330" s="544">
        <f t="shared" si="37"/>
        <v>0</v>
      </c>
      <c r="H330" s="414"/>
      <c r="I330" s="540"/>
      <c r="J330" s="540"/>
      <c r="K330" s="403"/>
      <c r="L330" s="541">
        <f>IF(FMVAE&lt;&gt;"",(Sum*mva)-Sum,"")</f>
      </c>
      <c r="M330" s="542"/>
      <c r="N330" s="544">
        <v>0</v>
      </c>
      <c r="O330" s="542"/>
      <c r="P330" s="545">
        <f>BOKFØRT!C330</f>
        <v>0</v>
      </c>
      <c r="Q330" s="583">
        <f>G330+N330+P330</f>
        <v>0</v>
      </c>
      <c r="R330" s="199"/>
      <c r="S330" s="199"/>
    </row>
    <row r="331" spans="1:19" s="1" customFormat="1" ht="12.75">
      <c r="A331" s="395">
        <v>339064</v>
      </c>
      <c r="B331" s="408" t="s">
        <v>21</v>
      </c>
      <c r="C331" s="397"/>
      <c r="D331" s="436"/>
      <c r="E331" s="436"/>
      <c r="F331" s="418"/>
      <c r="G331" s="544">
        <f t="shared" si="37"/>
        <v>0</v>
      </c>
      <c r="H331" s="414"/>
      <c r="I331" s="540"/>
      <c r="J331" s="540"/>
      <c r="K331" s="403"/>
      <c r="L331" s="541">
        <f>IF(FMVAE&lt;&gt;"",(Sum*mva)-Sum,"")</f>
      </c>
      <c r="M331" s="542"/>
      <c r="N331" s="544">
        <v>0</v>
      </c>
      <c r="O331" s="542"/>
      <c r="P331" s="545">
        <f>BOKFØRT!C331</f>
        <v>0</v>
      </c>
      <c r="Q331" s="583">
        <f>G331+N331+P331</f>
        <v>0</v>
      </c>
      <c r="R331" s="199"/>
      <c r="S331" s="199"/>
    </row>
    <row r="332" spans="1:19" s="1" customFormat="1" ht="12.75">
      <c r="A332" s="395">
        <v>339069</v>
      </c>
      <c r="B332" s="420" t="s">
        <v>564</v>
      </c>
      <c r="C332" s="421" t="s">
        <v>416</v>
      </c>
      <c r="D332" s="422"/>
      <c r="E332" s="422"/>
      <c r="F332" s="423"/>
      <c r="G332" s="548">
        <f t="shared" si="37"/>
        <v>0</v>
      </c>
      <c r="H332" s="414"/>
      <c r="I332" s="540"/>
      <c r="J332" s="540"/>
      <c r="K332" s="403"/>
      <c r="L332" s="541">
        <f>IF(FMVAE&lt;&gt;"",(Sum*mva)-Sum,"")</f>
      </c>
      <c r="M332" s="542"/>
      <c r="N332" s="548">
        <v>0</v>
      </c>
      <c r="O332" s="542"/>
      <c r="P332" s="550">
        <f>BOKFØRT!C332</f>
        <v>0</v>
      </c>
      <c r="Q332" s="583">
        <f>G332+N332+P332</f>
        <v>0</v>
      </c>
      <c r="R332" s="199"/>
      <c r="S332" s="199"/>
    </row>
    <row r="333" spans="1:19" s="1" customFormat="1" ht="13.5" thickBot="1">
      <c r="A333" s="445" t="s">
        <v>401</v>
      </c>
      <c r="B333" s="426"/>
      <c r="C333" s="451"/>
      <c r="D333" s="433"/>
      <c r="E333" s="434"/>
      <c r="F333" s="448" t="s">
        <v>570</v>
      </c>
      <c r="G333" s="558">
        <f>SUM(G265:G332)</f>
        <v>0</v>
      </c>
      <c r="H333" s="414"/>
      <c r="I333" s="555"/>
      <c r="J333" s="555"/>
      <c r="K333" s="394"/>
      <c r="L333" s="558">
        <f>SUM(L265:L332)</f>
        <v>0</v>
      </c>
      <c r="M333" s="542"/>
      <c r="N333" s="558">
        <v>0</v>
      </c>
      <c r="O333" s="542"/>
      <c r="P333" s="559">
        <f>SUM(P265:P332)</f>
        <v>0</v>
      </c>
      <c r="Q333" s="583">
        <f>G333+N333+P333</f>
        <v>0</v>
      </c>
      <c r="R333" s="199"/>
      <c r="S333" s="199"/>
    </row>
    <row r="334" spans="1:19" s="1" customFormat="1" ht="0.75" customHeight="1" thickTop="1">
      <c r="A334" s="431"/>
      <c r="B334" s="454"/>
      <c r="C334" s="427"/>
      <c r="D334" s="433"/>
      <c r="E334" s="434"/>
      <c r="F334" s="433"/>
      <c r="G334" s="555"/>
      <c r="H334" s="414"/>
      <c r="I334" s="540"/>
      <c r="J334" s="540"/>
      <c r="K334" s="394"/>
      <c r="L334" s="541">
        <f>IF(E334=mva,G334-(G334/mva),"")</f>
      </c>
      <c r="M334" s="542"/>
      <c r="N334" s="555"/>
      <c r="O334" s="542"/>
      <c r="P334" s="565"/>
      <c r="Q334" s="583"/>
      <c r="R334" s="199"/>
      <c r="S334" s="199"/>
    </row>
    <row r="335" spans="1:19" s="1" customFormat="1" ht="24.75" customHeight="1" thickTop="1">
      <c r="A335" s="391" t="s">
        <v>522</v>
      </c>
      <c r="B335" s="435"/>
      <c r="C335" s="427"/>
      <c r="D335" s="511" t="s">
        <v>422</v>
      </c>
      <c r="E335" s="512" t="s">
        <v>423</v>
      </c>
      <c r="F335" s="511" t="s">
        <v>424</v>
      </c>
      <c r="G335" s="533" t="s">
        <v>425</v>
      </c>
      <c r="H335" s="511" t="s">
        <v>426</v>
      </c>
      <c r="I335" s="534" t="s">
        <v>427</v>
      </c>
      <c r="J335" s="534"/>
      <c r="K335" s="394"/>
      <c r="L335" s="533" t="s">
        <v>688</v>
      </c>
      <c r="M335" s="536"/>
      <c r="N335" s="533" t="s">
        <v>425</v>
      </c>
      <c r="O335" s="536"/>
      <c r="P335" s="533" t="s">
        <v>677</v>
      </c>
      <c r="Q335" s="583"/>
      <c r="R335" s="199"/>
      <c r="S335" s="199"/>
    </row>
    <row r="336" spans="1:19" s="1" customFormat="1" ht="12.75">
      <c r="A336" s="395">
        <v>341410</v>
      </c>
      <c r="B336" s="408" t="s">
        <v>88</v>
      </c>
      <c r="C336" s="397"/>
      <c r="D336" s="436"/>
      <c r="E336" s="436"/>
      <c r="F336" s="418"/>
      <c r="G336" s="537">
        <f aca="true" t="shared" si="38" ref="G336:G354">IF(X=0,(IF(Me=0,Sa,Me*Sa)),(IF(Me=0,Sa*X,Me*X*Sa)))</f>
        <v>0</v>
      </c>
      <c r="H336" s="538">
        <f aca="true" t="shared" si="39" ref="H336:H354">IF(Sum,Sos,0)</f>
        <v>0</v>
      </c>
      <c r="I336" s="539">
        <f aca="true" t="shared" si="40" ref="I336:I354">IF(Prosent&lt;&gt;0,(Sum*Prosent)/100,0)</f>
        <v>0</v>
      </c>
      <c r="J336" s="540"/>
      <c r="K336" s="403"/>
      <c r="L336" s="541">
        <f aca="true" t="shared" si="41" ref="L336:L371">IF(FMVAE&lt;&gt;"",(Sum*mva)-Sum,"")</f>
      </c>
      <c r="M336" s="542"/>
      <c r="N336" s="537">
        <v>0</v>
      </c>
      <c r="O336" s="542"/>
      <c r="P336" s="543">
        <f>BOKFØRT!C336</f>
        <v>0</v>
      </c>
      <c r="Q336" s="583">
        <f aca="true" t="shared" si="42" ref="Q336:Q372">G336+N336+P336</f>
        <v>0</v>
      </c>
      <c r="R336" s="199"/>
      <c r="S336" s="199"/>
    </row>
    <row r="337" spans="1:19" s="1" customFormat="1" ht="12.75">
      <c r="A337" s="395">
        <v>341411</v>
      </c>
      <c r="B337" s="437" t="s">
        <v>89</v>
      </c>
      <c r="C337" s="397"/>
      <c r="D337" s="438"/>
      <c r="E337" s="436"/>
      <c r="F337" s="439">
        <f>IF(D337=0,0,+G336)</f>
        <v>0</v>
      </c>
      <c r="G337" s="544">
        <f t="shared" si="38"/>
        <v>0</v>
      </c>
      <c r="H337" s="538">
        <f t="shared" si="39"/>
        <v>0</v>
      </c>
      <c r="I337" s="539">
        <f t="shared" si="40"/>
        <v>0</v>
      </c>
      <c r="J337" s="540"/>
      <c r="K337" s="403"/>
      <c r="L337" s="541">
        <f t="shared" si="41"/>
      </c>
      <c r="M337" s="542"/>
      <c r="N337" s="544">
        <v>0</v>
      </c>
      <c r="O337" s="542"/>
      <c r="P337" s="545">
        <f>BOKFØRT!C337</f>
        <v>0</v>
      </c>
      <c r="Q337" s="583">
        <f t="shared" si="42"/>
        <v>0</v>
      </c>
      <c r="R337" s="199"/>
      <c r="S337" s="199"/>
    </row>
    <row r="338" spans="1:19" s="1" customFormat="1" ht="12.75">
      <c r="A338" s="395">
        <v>341412</v>
      </c>
      <c r="B338" s="408" t="s">
        <v>90</v>
      </c>
      <c r="C338" s="397"/>
      <c r="D338" s="436"/>
      <c r="E338" s="436"/>
      <c r="F338" s="418"/>
      <c r="G338" s="544">
        <f t="shared" si="38"/>
        <v>0</v>
      </c>
      <c r="H338" s="538">
        <f t="shared" si="39"/>
        <v>0</v>
      </c>
      <c r="I338" s="539">
        <f t="shared" si="40"/>
        <v>0</v>
      </c>
      <c r="J338" s="540"/>
      <c r="K338" s="403"/>
      <c r="L338" s="541">
        <f t="shared" si="41"/>
      </c>
      <c r="M338" s="542"/>
      <c r="N338" s="544">
        <v>0</v>
      </c>
      <c r="O338" s="542"/>
      <c r="P338" s="545">
        <f>BOKFØRT!C338</f>
        <v>0</v>
      </c>
      <c r="Q338" s="583">
        <f t="shared" si="42"/>
        <v>0</v>
      </c>
      <c r="R338" s="199"/>
      <c r="S338" s="199"/>
    </row>
    <row r="339" spans="1:19" s="1" customFormat="1" ht="12.75">
      <c r="A339" s="395">
        <v>341413</v>
      </c>
      <c r="B339" s="408" t="s">
        <v>91</v>
      </c>
      <c r="C339" s="397"/>
      <c r="D339" s="438"/>
      <c r="E339" s="436"/>
      <c r="F339" s="439">
        <f>IF(D339=0,0,+G338)</f>
        <v>0</v>
      </c>
      <c r="G339" s="544">
        <f t="shared" si="38"/>
        <v>0</v>
      </c>
      <c r="H339" s="538">
        <f t="shared" si="39"/>
        <v>0</v>
      </c>
      <c r="I339" s="539">
        <f t="shared" si="40"/>
        <v>0</v>
      </c>
      <c r="J339" s="540"/>
      <c r="K339" s="403"/>
      <c r="L339" s="541">
        <f t="shared" si="41"/>
      </c>
      <c r="M339" s="542"/>
      <c r="N339" s="544">
        <v>0</v>
      </c>
      <c r="O339" s="542"/>
      <c r="P339" s="545">
        <f>BOKFØRT!C339</f>
        <v>0</v>
      </c>
      <c r="Q339" s="583">
        <f t="shared" si="42"/>
        <v>0</v>
      </c>
      <c r="R339" s="199"/>
      <c r="S339" s="199"/>
    </row>
    <row r="340" spans="1:19" s="1" customFormat="1" ht="12.75">
      <c r="A340" s="395">
        <v>341414</v>
      </c>
      <c r="B340" s="408" t="s">
        <v>92</v>
      </c>
      <c r="C340" s="397"/>
      <c r="D340" s="436"/>
      <c r="E340" s="436"/>
      <c r="F340" s="418"/>
      <c r="G340" s="544">
        <f t="shared" si="38"/>
        <v>0</v>
      </c>
      <c r="H340" s="538">
        <f t="shared" si="39"/>
        <v>0</v>
      </c>
      <c r="I340" s="539">
        <f t="shared" si="40"/>
        <v>0</v>
      </c>
      <c r="J340" s="540"/>
      <c r="K340" s="403"/>
      <c r="L340" s="541">
        <f t="shared" si="41"/>
      </c>
      <c r="M340" s="542"/>
      <c r="N340" s="544">
        <v>0</v>
      </c>
      <c r="O340" s="542"/>
      <c r="P340" s="545">
        <f>BOKFØRT!C340</f>
        <v>0</v>
      </c>
      <c r="Q340" s="583">
        <f t="shared" si="42"/>
        <v>0</v>
      </c>
      <c r="R340" s="199"/>
      <c r="S340" s="199"/>
    </row>
    <row r="341" spans="1:19" s="1" customFormat="1" ht="12.75">
      <c r="A341" s="395">
        <v>341415</v>
      </c>
      <c r="B341" s="437" t="s">
        <v>93</v>
      </c>
      <c r="C341" s="397"/>
      <c r="D341" s="438"/>
      <c r="E341" s="436"/>
      <c r="F341" s="439">
        <f>IF(D341=0,0,+G340)</f>
        <v>0</v>
      </c>
      <c r="G341" s="544">
        <f t="shared" si="38"/>
        <v>0</v>
      </c>
      <c r="H341" s="538">
        <f t="shared" si="39"/>
        <v>0</v>
      </c>
      <c r="I341" s="539">
        <f t="shared" si="40"/>
        <v>0</v>
      </c>
      <c r="J341" s="540"/>
      <c r="K341" s="403"/>
      <c r="L341" s="541">
        <f t="shared" si="41"/>
      </c>
      <c r="M341" s="542"/>
      <c r="N341" s="544">
        <v>0</v>
      </c>
      <c r="O341" s="542"/>
      <c r="P341" s="545">
        <f>BOKFØRT!C341</f>
        <v>0</v>
      </c>
      <c r="Q341" s="583">
        <f t="shared" si="42"/>
        <v>0</v>
      </c>
      <c r="R341" s="199"/>
      <c r="S341" s="199"/>
    </row>
    <row r="342" spans="1:19" s="1" customFormat="1" ht="12.75">
      <c r="A342" s="395">
        <v>341416</v>
      </c>
      <c r="B342" s="408" t="s">
        <v>94</v>
      </c>
      <c r="C342" s="397"/>
      <c r="D342" s="436"/>
      <c r="E342" s="436"/>
      <c r="F342" s="418"/>
      <c r="G342" s="544">
        <f t="shared" si="38"/>
        <v>0</v>
      </c>
      <c r="H342" s="538">
        <f t="shared" si="39"/>
        <v>0</v>
      </c>
      <c r="I342" s="539">
        <f t="shared" si="40"/>
        <v>0</v>
      </c>
      <c r="J342" s="540"/>
      <c r="K342" s="403"/>
      <c r="L342" s="541">
        <f t="shared" si="41"/>
      </c>
      <c r="M342" s="542"/>
      <c r="N342" s="544">
        <v>0</v>
      </c>
      <c r="O342" s="542"/>
      <c r="P342" s="545">
        <f>BOKFØRT!C342</f>
        <v>0</v>
      </c>
      <c r="Q342" s="583">
        <f t="shared" si="42"/>
        <v>0</v>
      </c>
      <c r="R342" s="199"/>
      <c r="S342" s="199"/>
    </row>
    <row r="343" spans="1:19" s="1" customFormat="1" ht="12.75">
      <c r="A343" s="395">
        <v>341417</v>
      </c>
      <c r="B343" s="437" t="s">
        <v>95</v>
      </c>
      <c r="C343" s="397"/>
      <c r="D343" s="438"/>
      <c r="E343" s="436"/>
      <c r="F343" s="439">
        <f>IF(D343=0,0,+G342)</f>
        <v>0</v>
      </c>
      <c r="G343" s="544">
        <f t="shared" si="38"/>
        <v>0</v>
      </c>
      <c r="H343" s="538">
        <f t="shared" si="39"/>
        <v>0</v>
      </c>
      <c r="I343" s="539">
        <f t="shared" si="40"/>
        <v>0</v>
      </c>
      <c r="J343" s="540"/>
      <c r="K343" s="403"/>
      <c r="L343" s="541">
        <f t="shared" si="41"/>
      </c>
      <c r="M343" s="542"/>
      <c r="N343" s="544">
        <v>0</v>
      </c>
      <c r="O343" s="542"/>
      <c r="P343" s="545">
        <f>BOKFØRT!C343</f>
        <v>0</v>
      </c>
      <c r="Q343" s="583">
        <f t="shared" si="42"/>
        <v>0</v>
      </c>
      <c r="R343" s="199"/>
      <c r="S343" s="199"/>
    </row>
    <row r="344" spans="1:19" s="1" customFormat="1" ht="12.75">
      <c r="A344" s="395">
        <v>341420</v>
      </c>
      <c r="B344" s="408" t="s">
        <v>96</v>
      </c>
      <c r="C344" s="397"/>
      <c r="D344" s="436"/>
      <c r="E344" s="436"/>
      <c r="F344" s="418"/>
      <c r="G344" s="544">
        <f t="shared" si="38"/>
        <v>0</v>
      </c>
      <c r="H344" s="538">
        <f t="shared" si="39"/>
        <v>0</v>
      </c>
      <c r="I344" s="539">
        <f t="shared" si="40"/>
        <v>0</v>
      </c>
      <c r="J344" s="540"/>
      <c r="K344" s="403"/>
      <c r="L344" s="541">
        <f t="shared" si="41"/>
      </c>
      <c r="M344" s="542"/>
      <c r="N344" s="544">
        <v>0</v>
      </c>
      <c r="O344" s="542"/>
      <c r="P344" s="545">
        <f>BOKFØRT!C344</f>
        <v>0</v>
      </c>
      <c r="Q344" s="583">
        <f t="shared" si="42"/>
        <v>0</v>
      </c>
      <c r="R344" s="199"/>
      <c r="S344" s="199"/>
    </row>
    <row r="345" spans="1:19" s="1" customFormat="1" ht="12.75">
      <c r="A345" s="395">
        <v>341421</v>
      </c>
      <c r="B345" s="408" t="s">
        <v>97</v>
      </c>
      <c r="C345" s="397"/>
      <c r="D345" s="438"/>
      <c r="E345" s="436"/>
      <c r="F345" s="439">
        <f>IF(D345=0,0,+G344)</f>
        <v>0</v>
      </c>
      <c r="G345" s="544">
        <f t="shared" si="38"/>
        <v>0</v>
      </c>
      <c r="H345" s="538">
        <f t="shared" si="39"/>
        <v>0</v>
      </c>
      <c r="I345" s="539">
        <f t="shared" si="40"/>
        <v>0</v>
      </c>
      <c r="J345" s="540"/>
      <c r="K345" s="403"/>
      <c r="L345" s="541">
        <f t="shared" si="41"/>
      </c>
      <c r="M345" s="542"/>
      <c r="N345" s="544">
        <v>0</v>
      </c>
      <c r="O345" s="542"/>
      <c r="P345" s="545">
        <f>BOKFØRT!C345</f>
        <v>0</v>
      </c>
      <c r="Q345" s="583">
        <f t="shared" si="42"/>
        <v>0</v>
      </c>
      <c r="R345" s="199"/>
      <c r="S345" s="199"/>
    </row>
    <row r="346" spans="1:19" s="1" customFormat="1" ht="12.75">
      <c r="A346" s="395">
        <v>341430</v>
      </c>
      <c r="B346" s="408" t="s">
        <v>98</v>
      </c>
      <c r="C346" s="397"/>
      <c r="D346" s="436"/>
      <c r="E346" s="436"/>
      <c r="F346" s="418"/>
      <c r="G346" s="544">
        <f t="shared" si="38"/>
        <v>0</v>
      </c>
      <c r="H346" s="538">
        <f t="shared" si="39"/>
        <v>0</v>
      </c>
      <c r="I346" s="539">
        <f t="shared" si="40"/>
        <v>0</v>
      </c>
      <c r="J346" s="540"/>
      <c r="K346" s="403"/>
      <c r="L346" s="541">
        <f t="shared" si="41"/>
      </c>
      <c r="M346" s="542"/>
      <c r="N346" s="544">
        <v>0</v>
      </c>
      <c r="O346" s="542"/>
      <c r="P346" s="545">
        <f>BOKFØRT!C346</f>
        <v>0</v>
      </c>
      <c r="Q346" s="583">
        <f t="shared" si="42"/>
        <v>0</v>
      </c>
      <c r="R346" s="199"/>
      <c r="S346" s="199"/>
    </row>
    <row r="347" spans="1:19" s="1" customFormat="1" ht="12.75">
      <c r="A347" s="395">
        <v>341431</v>
      </c>
      <c r="B347" s="408" t="s">
        <v>99</v>
      </c>
      <c r="C347" s="397"/>
      <c r="D347" s="438"/>
      <c r="E347" s="436"/>
      <c r="F347" s="439">
        <f>IF(D347=0,0,+G346)</f>
        <v>0</v>
      </c>
      <c r="G347" s="544">
        <f t="shared" si="38"/>
        <v>0</v>
      </c>
      <c r="H347" s="538">
        <f t="shared" si="39"/>
        <v>0</v>
      </c>
      <c r="I347" s="539">
        <f t="shared" si="40"/>
        <v>0</v>
      </c>
      <c r="J347" s="540"/>
      <c r="K347" s="403"/>
      <c r="L347" s="541">
        <f t="shared" si="41"/>
      </c>
      <c r="M347" s="542"/>
      <c r="N347" s="544">
        <v>0</v>
      </c>
      <c r="O347" s="542"/>
      <c r="P347" s="545">
        <f>BOKFØRT!C347</f>
        <v>0</v>
      </c>
      <c r="Q347" s="583">
        <f t="shared" si="42"/>
        <v>0</v>
      </c>
      <c r="R347" s="199"/>
      <c r="S347" s="199"/>
    </row>
    <row r="348" spans="1:19" s="1" customFormat="1" ht="12.75">
      <c r="A348" s="395">
        <v>341440</v>
      </c>
      <c r="B348" s="408" t="s">
        <v>100</v>
      </c>
      <c r="C348" s="397"/>
      <c r="D348" s="436"/>
      <c r="E348" s="436"/>
      <c r="F348" s="418"/>
      <c r="G348" s="544">
        <f t="shared" si="38"/>
        <v>0</v>
      </c>
      <c r="H348" s="538">
        <f t="shared" si="39"/>
        <v>0</v>
      </c>
      <c r="I348" s="539">
        <f t="shared" si="40"/>
        <v>0</v>
      </c>
      <c r="J348" s="540"/>
      <c r="K348" s="403"/>
      <c r="L348" s="541">
        <f t="shared" si="41"/>
      </c>
      <c r="M348" s="542"/>
      <c r="N348" s="544">
        <v>0</v>
      </c>
      <c r="O348" s="542"/>
      <c r="P348" s="545">
        <f>BOKFØRT!C348</f>
        <v>0</v>
      </c>
      <c r="Q348" s="583">
        <f t="shared" si="42"/>
        <v>0</v>
      </c>
      <c r="R348" s="199"/>
      <c r="S348" s="199"/>
    </row>
    <row r="349" spans="1:19" s="1" customFormat="1" ht="12.75">
      <c r="A349" s="395">
        <v>341441</v>
      </c>
      <c r="B349" s="408" t="s">
        <v>101</v>
      </c>
      <c r="C349" s="397"/>
      <c r="D349" s="438"/>
      <c r="E349" s="436"/>
      <c r="F349" s="439">
        <f>IF(D349=0,0,+G348)</f>
        <v>0</v>
      </c>
      <c r="G349" s="544">
        <f t="shared" si="38"/>
        <v>0</v>
      </c>
      <c r="H349" s="538">
        <f t="shared" si="39"/>
        <v>0</v>
      </c>
      <c r="I349" s="539">
        <f t="shared" si="40"/>
        <v>0</v>
      </c>
      <c r="J349" s="540"/>
      <c r="K349" s="403"/>
      <c r="L349" s="541">
        <f t="shared" si="41"/>
      </c>
      <c r="M349" s="542"/>
      <c r="N349" s="544">
        <v>0</v>
      </c>
      <c r="O349" s="542"/>
      <c r="P349" s="545">
        <f>BOKFØRT!C349</f>
        <v>0</v>
      </c>
      <c r="Q349" s="583">
        <f t="shared" si="42"/>
        <v>0</v>
      </c>
      <c r="R349" s="199"/>
      <c r="S349" s="199"/>
    </row>
    <row r="350" spans="1:19" s="1" customFormat="1" ht="12.75">
      <c r="A350" s="395">
        <v>341450</v>
      </c>
      <c r="B350" s="408" t="s">
        <v>820</v>
      </c>
      <c r="C350" s="397"/>
      <c r="D350" s="436"/>
      <c r="E350" s="436"/>
      <c r="F350" s="418"/>
      <c r="G350" s="544">
        <f t="shared" si="38"/>
        <v>0</v>
      </c>
      <c r="H350" s="538">
        <f t="shared" si="39"/>
        <v>0</v>
      </c>
      <c r="I350" s="539">
        <f t="shared" si="40"/>
        <v>0</v>
      </c>
      <c r="J350" s="540"/>
      <c r="K350" s="403"/>
      <c r="L350" s="541">
        <f t="shared" si="41"/>
      </c>
      <c r="M350" s="542"/>
      <c r="N350" s="544">
        <v>0</v>
      </c>
      <c r="O350" s="542"/>
      <c r="P350" s="545">
        <f>BOKFØRT!C350</f>
        <v>0</v>
      </c>
      <c r="Q350" s="583">
        <f>G350+N350+P350</f>
        <v>0</v>
      </c>
      <c r="R350" s="199"/>
      <c r="S350" s="199"/>
    </row>
    <row r="351" spans="1:19" s="1" customFormat="1" ht="12.75">
      <c r="A351" s="395">
        <v>341451</v>
      </c>
      <c r="B351" s="408" t="s">
        <v>821</v>
      </c>
      <c r="C351" s="397"/>
      <c r="D351" s="438"/>
      <c r="E351" s="436"/>
      <c r="F351" s="439">
        <f>IF(D351=0,0,+G350)</f>
        <v>0</v>
      </c>
      <c r="G351" s="544">
        <f t="shared" si="38"/>
        <v>0</v>
      </c>
      <c r="H351" s="538">
        <f t="shared" si="39"/>
        <v>0</v>
      </c>
      <c r="I351" s="539">
        <f t="shared" si="40"/>
        <v>0</v>
      </c>
      <c r="J351" s="540"/>
      <c r="K351" s="403"/>
      <c r="L351" s="541">
        <f t="shared" si="41"/>
      </c>
      <c r="M351" s="542"/>
      <c r="N351" s="544">
        <v>0</v>
      </c>
      <c r="O351" s="542"/>
      <c r="P351" s="545">
        <f>BOKFØRT!C351</f>
        <v>0</v>
      </c>
      <c r="Q351" s="583">
        <f>G351+N351+P351</f>
        <v>0</v>
      </c>
      <c r="R351" s="199"/>
      <c r="S351" s="199"/>
    </row>
    <row r="352" spans="1:19" s="1" customFormat="1" ht="12.75">
      <c r="A352" s="395">
        <v>341490</v>
      </c>
      <c r="B352" s="408" t="s">
        <v>102</v>
      </c>
      <c r="C352" s="397"/>
      <c r="D352" s="436"/>
      <c r="E352" s="436"/>
      <c r="F352" s="418"/>
      <c r="G352" s="544">
        <f t="shared" si="38"/>
        <v>0</v>
      </c>
      <c r="H352" s="538">
        <f t="shared" si="39"/>
        <v>0</v>
      </c>
      <c r="I352" s="539">
        <f t="shared" si="40"/>
        <v>0</v>
      </c>
      <c r="J352" s="540"/>
      <c r="K352" s="403"/>
      <c r="L352" s="541">
        <f t="shared" si="41"/>
      </c>
      <c r="M352" s="542"/>
      <c r="N352" s="544">
        <v>0</v>
      </c>
      <c r="O352" s="542"/>
      <c r="P352" s="545">
        <f>BOKFØRT!C352</f>
        <v>0</v>
      </c>
      <c r="Q352" s="583">
        <f t="shared" si="42"/>
        <v>0</v>
      </c>
      <c r="R352" s="199"/>
      <c r="S352" s="199"/>
    </row>
    <row r="353" spans="1:19" s="1" customFormat="1" ht="12.75">
      <c r="A353" s="395">
        <v>341491</v>
      </c>
      <c r="B353" s="437" t="s">
        <v>103</v>
      </c>
      <c r="C353" s="397"/>
      <c r="D353" s="438"/>
      <c r="E353" s="436"/>
      <c r="F353" s="439">
        <f>IF(D353=0,0,+G352)</f>
        <v>0</v>
      </c>
      <c r="G353" s="544">
        <f t="shared" si="38"/>
        <v>0</v>
      </c>
      <c r="H353" s="538">
        <f t="shared" si="39"/>
        <v>0</v>
      </c>
      <c r="I353" s="539">
        <f t="shared" si="40"/>
        <v>0</v>
      </c>
      <c r="J353" s="540"/>
      <c r="K353" s="403"/>
      <c r="L353" s="541">
        <f t="shared" si="41"/>
      </c>
      <c r="M353" s="542"/>
      <c r="N353" s="544">
        <v>0</v>
      </c>
      <c r="O353" s="542"/>
      <c r="P353" s="545">
        <f>BOKFØRT!C353</f>
        <v>0</v>
      </c>
      <c r="Q353" s="583">
        <f t="shared" si="42"/>
        <v>0</v>
      </c>
      <c r="R353" s="199"/>
      <c r="S353" s="199"/>
    </row>
    <row r="354" spans="1:19" s="1" customFormat="1" ht="12.75">
      <c r="A354" s="395">
        <v>344092</v>
      </c>
      <c r="B354" s="408" t="s">
        <v>590</v>
      </c>
      <c r="C354" s="397"/>
      <c r="D354" s="436"/>
      <c r="E354" s="436"/>
      <c r="F354" s="418"/>
      <c r="G354" s="544">
        <f t="shared" si="38"/>
        <v>0</v>
      </c>
      <c r="H354" s="538">
        <f t="shared" si="39"/>
        <v>0</v>
      </c>
      <c r="I354" s="539">
        <f t="shared" si="40"/>
        <v>0</v>
      </c>
      <c r="J354" s="540"/>
      <c r="K354" s="403"/>
      <c r="L354" s="541">
        <f t="shared" si="41"/>
      </c>
      <c r="M354" s="542"/>
      <c r="N354" s="544">
        <v>0</v>
      </c>
      <c r="O354" s="542"/>
      <c r="P354" s="545">
        <f>BOKFØRT!C354</f>
        <v>0</v>
      </c>
      <c r="Q354" s="583">
        <f t="shared" si="42"/>
        <v>0</v>
      </c>
      <c r="R354" s="199"/>
      <c r="S354" s="199"/>
    </row>
    <row r="355" spans="1:19" s="1" customFormat="1" ht="12.75">
      <c r="A355" s="395">
        <v>344095</v>
      </c>
      <c r="B355" s="437" t="s">
        <v>554</v>
      </c>
      <c r="C355" s="397"/>
      <c r="D355" s="440"/>
      <c r="E355" s="440"/>
      <c r="F355" s="449"/>
      <c r="G355" s="562">
        <f>SUM(I336:I354)</f>
        <v>0</v>
      </c>
      <c r="H355" s="414"/>
      <c r="I355" s="546" t="s">
        <v>555</v>
      </c>
      <c r="J355" s="546"/>
      <c r="K355" s="573"/>
      <c r="L355" s="541"/>
      <c r="M355" s="542"/>
      <c r="N355" s="562">
        <v>0</v>
      </c>
      <c r="O355" s="542"/>
      <c r="P355" s="545">
        <f>BOKFØRT!C355</f>
        <v>0</v>
      </c>
      <c r="Q355" s="583">
        <f t="shared" si="42"/>
        <v>0</v>
      </c>
      <c r="R355" s="199"/>
      <c r="S355" s="199"/>
    </row>
    <row r="356" spans="1:19" s="1" customFormat="1" ht="12.75">
      <c r="A356" s="395">
        <v>346420</v>
      </c>
      <c r="B356" s="408" t="s">
        <v>104</v>
      </c>
      <c r="C356" s="397"/>
      <c r="D356" s="436"/>
      <c r="E356" s="436"/>
      <c r="F356" s="418"/>
      <c r="G356" s="544">
        <f aca="true" t="shared" si="43" ref="G356:G371">IF(X=0,(IF(Me=0,Sa,Me*Sa)),(IF(Me=0,Sa*X,Me*X*Sa)))</f>
        <v>0</v>
      </c>
      <c r="H356" s="433"/>
      <c r="I356" s="555"/>
      <c r="J356" s="555"/>
      <c r="K356" s="403"/>
      <c r="L356" s="541">
        <f t="shared" si="41"/>
      </c>
      <c r="M356" s="542"/>
      <c r="N356" s="544">
        <v>0</v>
      </c>
      <c r="O356" s="542"/>
      <c r="P356" s="545">
        <f>BOKFØRT!C356</f>
        <v>0</v>
      </c>
      <c r="Q356" s="583">
        <f t="shared" si="42"/>
        <v>0</v>
      </c>
      <c r="R356" s="199"/>
      <c r="S356" s="199"/>
    </row>
    <row r="357" spans="1:19" s="1" customFormat="1" ht="12.75">
      <c r="A357" s="395">
        <v>346430</v>
      </c>
      <c r="B357" s="437" t="s">
        <v>105</v>
      </c>
      <c r="C357" s="397"/>
      <c r="D357" s="436"/>
      <c r="E357" s="436"/>
      <c r="F357" s="418"/>
      <c r="G357" s="544">
        <f t="shared" si="43"/>
        <v>0</v>
      </c>
      <c r="H357" s="433"/>
      <c r="I357" s="555"/>
      <c r="J357" s="555"/>
      <c r="K357" s="403"/>
      <c r="L357" s="541">
        <f t="shared" si="41"/>
      </c>
      <c r="M357" s="542"/>
      <c r="N357" s="544">
        <v>0</v>
      </c>
      <c r="O357" s="542"/>
      <c r="P357" s="545">
        <f>BOKFØRT!C357</f>
        <v>0</v>
      </c>
      <c r="Q357" s="583">
        <f t="shared" si="42"/>
        <v>0</v>
      </c>
      <c r="R357" s="199"/>
      <c r="S357" s="199"/>
    </row>
    <row r="358" spans="1:19" s="1" customFormat="1" ht="12.75">
      <c r="A358" s="395">
        <v>346440</v>
      </c>
      <c r="B358" s="408" t="s">
        <v>106</v>
      </c>
      <c r="C358" s="397"/>
      <c r="D358" s="436"/>
      <c r="E358" s="436"/>
      <c r="F358" s="418"/>
      <c r="G358" s="544">
        <f t="shared" si="43"/>
        <v>0</v>
      </c>
      <c r="H358" s="433"/>
      <c r="I358" s="555"/>
      <c r="J358" s="555"/>
      <c r="K358" s="403"/>
      <c r="L358" s="541">
        <f t="shared" si="41"/>
      </c>
      <c r="M358" s="542"/>
      <c r="N358" s="544">
        <v>0</v>
      </c>
      <c r="O358" s="542"/>
      <c r="P358" s="545">
        <f>BOKFØRT!C358</f>
        <v>0</v>
      </c>
      <c r="Q358" s="583">
        <f t="shared" si="42"/>
        <v>0</v>
      </c>
      <c r="R358" s="199"/>
      <c r="S358" s="199"/>
    </row>
    <row r="359" spans="1:19" s="1" customFormat="1" ht="12.75">
      <c r="A359" s="395">
        <v>346450</v>
      </c>
      <c r="B359" s="408" t="s">
        <v>107</v>
      </c>
      <c r="C359" s="397"/>
      <c r="D359" s="436"/>
      <c r="E359" s="436"/>
      <c r="F359" s="418"/>
      <c r="G359" s="544">
        <f t="shared" si="43"/>
        <v>0</v>
      </c>
      <c r="H359" s="433"/>
      <c r="I359" s="555"/>
      <c r="J359" s="555"/>
      <c r="K359" s="403"/>
      <c r="L359" s="541">
        <f t="shared" si="41"/>
      </c>
      <c r="M359" s="542"/>
      <c r="N359" s="544">
        <v>0</v>
      </c>
      <c r="O359" s="542"/>
      <c r="P359" s="545">
        <f>BOKFØRT!C359</f>
        <v>0</v>
      </c>
      <c r="Q359" s="583">
        <f t="shared" si="42"/>
        <v>0</v>
      </c>
      <c r="R359" s="199"/>
      <c r="S359" s="199"/>
    </row>
    <row r="360" spans="1:19" s="1" customFormat="1" ht="12.75">
      <c r="A360" s="395">
        <v>346460</v>
      </c>
      <c r="B360" s="408" t="s">
        <v>108</v>
      </c>
      <c r="C360" s="397"/>
      <c r="D360" s="436"/>
      <c r="E360" s="436"/>
      <c r="F360" s="418"/>
      <c r="G360" s="544">
        <f t="shared" si="43"/>
        <v>0</v>
      </c>
      <c r="H360" s="433"/>
      <c r="I360" s="555"/>
      <c r="J360" s="555"/>
      <c r="K360" s="403"/>
      <c r="L360" s="541">
        <f t="shared" si="41"/>
      </c>
      <c r="M360" s="542"/>
      <c r="N360" s="544">
        <v>0</v>
      </c>
      <c r="O360" s="542"/>
      <c r="P360" s="545">
        <f>BOKFØRT!C360</f>
        <v>0</v>
      </c>
      <c r="Q360" s="583">
        <f t="shared" si="42"/>
        <v>0</v>
      </c>
      <c r="R360" s="199"/>
      <c r="S360" s="199"/>
    </row>
    <row r="361" spans="1:19" s="1" customFormat="1" ht="12.75">
      <c r="A361" s="395">
        <v>349010</v>
      </c>
      <c r="B361" s="408" t="s">
        <v>556</v>
      </c>
      <c r="C361" s="397"/>
      <c r="D361" s="436"/>
      <c r="E361" s="436"/>
      <c r="F361" s="418"/>
      <c r="G361" s="544">
        <f t="shared" si="43"/>
        <v>0</v>
      </c>
      <c r="H361" s="414"/>
      <c r="I361" s="547"/>
      <c r="J361" s="547"/>
      <c r="K361" s="403"/>
      <c r="L361" s="541">
        <f t="shared" si="41"/>
      </c>
      <c r="M361" s="542"/>
      <c r="N361" s="544">
        <v>0</v>
      </c>
      <c r="O361" s="542"/>
      <c r="P361" s="545">
        <f>BOKFØRT!C361</f>
        <v>0</v>
      </c>
      <c r="Q361" s="583">
        <f t="shared" si="42"/>
        <v>0</v>
      </c>
      <c r="R361" s="199"/>
      <c r="S361" s="199"/>
    </row>
    <row r="362" spans="1:19" s="1" customFormat="1" ht="12.75">
      <c r="A362" s="395">
        <v>349011</v>
      </c>
      <c r="B362" s="408" t="s">
        <v>11</v>
      </c>
      <c r="C362" s="397"/>
      <c r="D362" s="436"/>
      <c r="E362" s="436"/>
      <c r="F362" s="418"/>
      <c r="G362" s="544">
        <f t="shared" si="43"/>
        <v>0</v>
      </c>
      <c r="H362" s="414"/>
      <c r="I362" s="547"/>
      <c r="J362" s="547"/>
      <c r="K362" s="403"/>
      <c r="L362" s="541">
        <f t="shared" si="41"/>
      </c>
      <c r="M362" s="542"/>
      <c r="N362" s="544">
        <v>0</v>
      </c>
      <c r="O362" s="542"/>
      <c r="P362" s="545">
        <f>BOKFØRT!C362</f>
        <v>0</v>
      </c>
      <c r="Q362" s="583">
        <f t="shared" si="42"/>
        <v>0</v>
      </c>
      <c r="R362" s="199"/>
      <c r="S362" s="199"/>
    </row>
    <row r="363" spans="1:19" s="1" customFormat="1" ht="12.75">
      <c r="A363" s="395">
        <v>349027</v>
      </c>
      <c r="B363" s="408" t="s">
        <v>15</v>
      </c>
      <c r="C363" s="397"/>
      <c r="D363" s="436"/>
      <c r="E363" s="436"/>
      <c r="F363" s="418"/>
      <c r="G363" s="544">
        <f t="shared" si="43"/>
        <v>0</v>
      </c>
      <c r="H363" s="414"/>
      <c r="I363" s="547"/>
      <c r="J363" s="547"/>
      <c r="K363" s="403"/>
      <c r="L363" s="541">
        <f t="shared" si="41"/>
      </c>
      <c r="M363" s="542"/>
      <c r="N363" s="544">
        <v>0</v>
      </c>
      <c r="O363" s="542"/>
      <c r="P363" s="545">
        <f>BOKFØRT!C363</f>
        <v>0</v>
      </c>
      <c r="Q363" s="583">
        <f t="shared" si="42"/>
        <v>0</v>
      </c>
      <c r="R363" s="199"/>
      <c r="S363" s="199"/>
    </row>
    <row r="364" spans="1:19" s="1" customFormat="1" ht="12.75">
      <c r="A364" s="395">
        <v>349040</v>
      </c>
      <c r="B364" s="408" t="s">
        <v>769</v>
      </c>
      <c r="C364" s="397"/>
      <c r="D364" s="436"/>
      <c r="E364" s="436"/>
      <c r="F364" s="418"/>
      <c r="G364" s="544">
        <f t="shared" si="43"/>
        <v>0</v>
      </c>
      <c r="H364" s="414"/>
      <c r="I364" s="547"/>
      <c r="J364" s="547"/>
      <c r="K364" s="403"/>
      <c r="L364" s="541">
        <f t="shared" si="41"/>
      </c>
      <c r="M364" s="542"/>
      <c r="N364" s="544">
        <v>0</v>
      </c>
      <c r="O364" s="542"/>
      <c r="P364" s="545">
        <f>BOKFØRT!C364</f>
        <v>0</v>
      </c>
      <c r="Q364" s="583">
        <f t="shared" si="42"/>
        <v>0</v>
      </c>
      <c r="R364" s="199"/>
      <c r="S364" s="199"/>
    </row>
    <row r="365" spans="1:19" s="1" customFormat="1" ht="12.75">
      <c r="A365" s="395">
        <v>349050</v>
      </c>
      <c r="B365" s="408" t="s">
        <v>17</v>
      </c>
      <c r="C365" s="397"/>
      <c r="D365" s="436"/>
      <c r="E365" s="436"/>
      <c r="F365" s="418"/>
      <c r="G365" s="544">
        <f t="shared" si="43"/>
        <v>0</v>
      </c>
      <c r="H365" s="414"/>
      <c r="I365" s="547"/>
      <c r="J365" s="547"/>
      <c r="K365" s="403"/>
      <c r="L365" s="541">
        <f t="shared" si="41"/>
      </c>
      <c r="M365" s="542"/>
      <c r="N365" s="544">
        <v>0</v>
      </c>
      <c r="O365" s="542"/>
      <c r="P365" s="545">
        <f>BOKFØRT!C365</f>
        <v>0</v>
      </c>
      <c r="Q365" s="583">
        <f t="shared" si="42"/>
        <v>0</v>
      </c>
      <c r="R365" s="199"/>
      <c r="S365" s="199"/>
    </row>
    <row r="366" spans="1:19" s="1" customFormat="1" ht="12.75">
      <c r="A366" s="395">
        <v>349052</v>
      </c>
      <c r="B366" s="408" t="s">
        <v>85</v>
      </c>
      <c r="C366" s="397"/>
      <c r="D366" s="436"/>
      <c r="E366" s="436"/>
      <c r="F366" s="418"/>
      <c r="G366" s="544">
        <f t="shared" si="43"/>
        <v>0</v>
      </c>
      <c r="H366" s="414"/>
      <c r="I366" s="547"/>
      <c r="J366" s="547"/>
      <c r="K366" s="403"/>
      <c r="L366" s="541">
        <f t="shared" si="41"/>
      </c>
      <c r="M366" s="542"/>
      <c r="N366" s="544">
        <v>0</v>
      </c>
      <c r="O366" s="542"/>
      <c r="P366" s="545">
        <f>BOKFØRT!C366</f>
        <v>0</v>
      </c>
      <c r="Q366" s="583">
        <f t="shared" si="42"/>
        <v>0</v>
      </c>
      <c r="R366" s="199"/>
      <c r="S366" s="199"/>
    </row>
    <row r="367" spans="1:19" s="1" customFormat="1" ht="12.75">
      <c r="A367" s="395">
        <v>349053</v>
      </c>
      <c r="B367" s="408" t="s">
        <v>86</v>
      </c>
      <c r="C367" s="397"/>
      <c r="D367" s="436"/>
      <c r="E367" s="436"/>
      <c r="F367" s="418"/>
      <c r="G367" s="544">
        <f t="shared" si="43"/>
        <v>0</v>
      </c>
      <c r="H367" s="414"/>
      <c r="I367" s="547"/>
      <c r="J367" s="547"/>
      <c r="K367" s="403"/>
      <c r="L367" s="541">
        <f t="shared" si="41"/>
      </c>
      <c r="M367" s="542"/>
      <c r="N367" s="544">
        <v>0</v>
      </c>
      <c r="O367" s="542"/>
      <c r="P367" s="545">
        <f>BOKFØRT!C367</f>
        <v>0</v>
      </c>
      <c r="Q367" s="583">
        <f t="shared" si="42"/>
        <v>0</v>
      </c>
      <c r="R367" s="199"/>
      <c r="S367" s="199"/>
    </row>
    <row r="368" spans="1:19" s="1" customFormat="1" ht="12.75">
      <c r="A368" s="395">
        <v>349054</v>
      </c>
      <c r="B368" s="408" t="s">
        <v>87</v>
      </c>
      <c r="C368" s="397"/>
      <c r="D368" s="436"/>
      <c r="E368" s="436"/>
      <c r="F368" s="418"/>
      <c r="G368" s="544">
        <f t="shared" si="43"/>
        <v>0</v>
      </c>
      <c r="H368" s="414"/>
      <c r="I368" s="547"/>
      <c r="J368" s="547"/>
      <c r="K368" s="403"/>
      <c r="L368" s="541">
        <f t="shared" si="41"/>
      </c>
      <c r="M368" s="542"/>
      <c r="N368" s="544">
        <v>0</v>
      </c>
      <c r="O368" s="542"/>
      <c r="P368" s="545">
        <f>BOKFØRT!C368</f>
        <v>0</v>
      </c>
      <c r="Q368" s="583">
        <f t="shared" si="42"/>
        <v>0</v>
      </c>
      <c r="R368" s="199"/>
      <c r="S368" s="199"/>
    </row>
    <row r="369" spans="1:19" s="1" customFormat="1" ht="12.75">
      <c r="A369" s="395">
        <v>349060</v>
      </c>
      <c r="B369" s="408" t="s">
        <v>562</v>
      </c>
      <c r="C369" s="397"/>
      <c r="D369" s="436"/>
      <c r="E369" s="436"/>
      <c r="F369" s="418"/>
      <c r="G369" s="544">
        <f t="shared" si="43"/>
        <v>0</v>
      </c>
      <c r="H369" s="414"/>
      <c r="I369" s="547"/>
      <c r="J369" s="547"/>
      <c r="K369" s="403"/>
      <c r="L369" s="541">
        <f t="shared" si="41"/>
      </c>
      <c r="M369" s="542"/>
      <c r="N369" s="544">
        <v>0</v>
      </c>
      <c r="O369" s="542"/>
      <c r="P369" s="545">
        <f>BOKFØRT!C369</f>
        <v>0</v>
      </c>
      <c r="Q369" s="583">
        <f t="shared" si="42"/>
        <v>0</v>
      </c>
      <c r="R369" s="199"/>
      <c r="S369" s="199"/>
    </row>
    <row r="370" spans="1:19" s="1" customFormat="1" ht="12.75">
      <c r="A370" s="395">
        <v>349064</v>
      </c>
      <c r="B370" s="408" t="s">
        <v>21</v>
      </c>
      <c r="C370" s="397"/>
      <c r="D370" s="436"/>
      <c r="E370" s="436"/>
      <c r="F370" s="418"/>
      <c r="G370" s="544">
        <f t="shared" si="43"/>
        <v>0</v>
      </c>
      <c r="H370" s="414"/>
      <c r="I370" s="547"/>
      <c r="J370" s="547"/>
      <c r="K370" s="403"/>
      <c r="L370" s="541">
        <f t="shared" si="41"/>
      </c>
      <c r="M370" s="542"/>
      <c r="N370" s="544">
        <v>0</v>
      </c>
      <c r="O370" s="542"/>
      <c r="P370" s="545">
        <f>BOKFØRT!C370</f>
        <v>0</v>
      </c>
      <c r="Q370" s="583">
        <f t="shared" si="42"/>
        <v>0</v>
      </c>
      <c r="R370" s="199"/>
      <c r="S370" s="199"/>
    </row>
    <row r="371" spans="1:19" s="1" customFormat="1" ht="12.75">
      <c r="A371" s="395">
        <v>349069</v>
      </c>
      <c r="B371" s="420" t="s">
        <v>564</v>
      </c>
      <c r="C371" s="421" t="s">
        <v>416</v>
      </c>
      <c r="D371" s="422"/>
      <c r="E371" s="422"/>
      <c r="F371" s="423"/>
      <c r="G371" s="548">
        <f t="shared" si="43"/>
        <v>0</v>
      </c>
      <c r="H371" s="414"/>
      <c r="I371" s="540"/>
      <c r="J371" s="540"/>
      <c r="K371" s="403"/>
      <c r="L371" s="541">
        <f t="shared" si="41"/>
      </c>
      <c r="M371" s="542"/>
      <c r="N371" s="548">
        <v>0</v>
      </c>
      <c r="O371" s="542"/>
      <c r="P371" s="550">
        <f>BOKFØRT!C371</f>
        <v>0</v>
      </c>
      <c r="Q371" s="583">
        <f t="shared" si="42"/>
        <v>0</v>
      </c>
      <c r="R371" s="199"/>
      <c r="S371" s="199"/>
    </row>
    <row r="372" spans="1:19" s="1" customFormat="1" ht="13.5" thickBot="1">
      <c r="A372" s="445" t="s">
        <v>401</v>
      </c>
      <c r="B372" s="426"/>
      <c r="C372" s="451"/>
      <c r="D372" s="433"/>
      <c r="E372" s="434"/>
      <c r="F372" s="448" t="s">
        <v>570</v>
      </c>
      <c r="G372" s="558">
        <f>SUM(G336:G371)</f>
        <v>0</v>
      </c>
      <c r="H372" s="414"/>
      <c r="I372" s="555"/>
      <c r="J372" s="555"/>
      <c r="K372" s="394"/>
      <c r="L372" s="558">
        <f>SUM(L336:L371)</f>
        <v>0</v>
      </c>
      <c r="M372" s="542"/>
      <c r="N372" s="558">
        <v>0</v>
      </c>
      <c r="O372" s="542"/>
      <c r="P372" s="559">
        <f>SUM(P336:P371)</f>
        <v>0</v>
      </c>
      <c r="Q372" s="583">
        <f t="shared" si="42"/>
        <v>0</v>
      </c>
      <c r="R372" s="199"/>
      <c r="S372" s="199"/>
    </row>
    <row r="373" spans="1:19" s="1" customFormat="1" ht="0.75" customHeight="1" thickTop="1">
      <c r="A373" s="431"/>
      <c r="B373" s="432"/>
      <c r="C373" s="427"/>
      <c r="D373" s="433"/>
      <c r="E373" s="434"/>
      <c r="F373" s="433"/>
      <c r="G373" s="555"/>
      <c r="H373" s="414"/>
      <c r="I373" s="547"/>
      <c r="J373" s="547"/>
      <c r="K373" s="394"/>
      <c r="L373" s="541">
        <f>IF(E373=mva,G373-(G373/mva),"")</f>
      </c>
      <c r="M373" s="542"/>
      <c r="N373" s="555"/>
      <c r="O373" s="542"/>
      <c r="P373" s="565"/>
      <c r="Q373" s="583"/>
      <c r="R373" s="199"/>
      <c r="S373" s="199"/>
    </row>
    <row r="374" spans="1:19" s="1" customFormat="1" ht="24.75" customHeight="1" thickTop="1">
      <c r="A374" s="391" t="s">
        <v>523</v>
      </c>
      <c r="B374" s="435"/>
      <c r="C374" s="427"/>
      <c r="D374" s="511" t="s">
        <v>422</v>
      </c>
      <c r="E374" s="512" t="s">
        <v>423</v>
      </c>
      <c r="F374" s="511" t="s">
        <v>424</v>
      </c>
      <c r="G374" s="533" t="s">
        <v>425</v>
      </c>
      <c r="H374" s="511" t="s">
        <v>426</v>
      </c>
      <c r="I374" s="534" t="s">
        <v>427</v>
      </c>
      <c r="J374" s="534"/>
      <c r="K374" s="394"/>
      <c r="L374" s="533" t="s">
        <v>688</v>
      </c>
      <c r="M374" s="536"/>
      <c r="N374" s="533" t="s">
        <v>425</v>
      </c>
      <c r="O374" s="536"/>
      <c r="P374" s="533" t="s">
        <v>677</v>
      </c>
      <c r="Q374" s="583"/>
      <c r="R374" s="199"/>
      <c r="S374" s="199"/>
    </row>
    <row r="375" spans="1:19" s="1" customFormat="1" ht="12.75">
      <c r="A375" s="395">
        <v>351510</v>
      </c>
      <c r="B375" s="408" t="s">
        <v>109</v>
      </c>
      <c r="C375" s="397"/>
      <c r="D375" s="436"/>
      <c r="E375" s="436"/>
      <c r="F375" s="418"/>
      <c r="G375" s="537">
        <f aca="true" t="shared" si="44" ref="G375:G381">IF(X=0,(IF(Me=0,Sa,Me*Sa)),(IF(Me=0,Sa*X,Me*X*Sa)))</f>
        <v>0</v>
      </c>
      <c r="H375" s="538">
        <f aca="true" t="shared" si="45" ref="H375:H381">IF(Sum,Sos,0)</f>
        <v>0</v>
      </c>
      <c r="I375" s="539">
        <f aca="true" t="shared" si="46" ref="I375:I381">IF(Prosent&lt;&gt;0,(Sum*Prosent)/100,0)</f>
        <v>0</v>
      </c>
      <c r="J375" s="540"/>
      <c r="K375" s="403"/>
      <c r="L375" s="541">
        <f aca="true" t="shared" si="47" ref="L375:L401">IF(FMVAE&lt;&gt;"",(Sum*mva)-Sum,"")</f>
      </c>
      <c r="M375" s="542"/>
      <c r="N375" s="537">
        <v>0</v>
      </c>
      <c r="O375" s="542"/>
      <c r="P375" s="543">
        <f>BOKFØRT!C375</f>
        <v>0</v>
      </c>
      <c r="Q375" s="583">
        <f aca="true" t="shared" si="48" ref="Q375:Q402">G375+N375+P375</f>
        <v>0</v>
      </c>
      <c r="R375" s="199"/>
      <c r="S375" s="199"/>
    </row>
    <row r="376" spans="1:19" s="1" customFormat="1" ht="12.75">
      <c r="A376" s="395">
        <v>351511</v>
      </c>
      <c r="B376" s="437" t="s">
        <v>110</v>
      </c>
      <c r="C376" s="397"/>
      <c r="D376" s="438"/>
      <c r="E376" s="436"/>
      <c r="F376" s="439">
        <f>IF(D376=0,0,+G375)</f>
        <v>0</v>
      </c>
      <c r="G376" s="544">
        <f t="shared" si="44"/>
        <v>0</v>
      </c>
      <c r="H376" s="538">
        <f t="shared" si="45"/>
        <v>0</v>
      </c>
      <c r="I376" s="539">
        <f t="shared" si="46"/>
        <v>0</v>
      </c>
      <c r="J376" s="540"/>
      <c r="K376" s="403"/>
      <c r="L376" s="541">
        <f t="shared" si="47"/>
      </c>
      <c r="M376" s="542"/>
      <c r="N376" s="544">
        <v>0</v>
      </c>
      <c r="O376" s="542"/>
      <c r="P376" s="545">
        <f>BOKFØRT!C376</f>
        <v>0</v>
      </c>
      <c r="Q376" s="583">
        <f t="shared" si="48"/>
        <v>0</v>
      </c>
      <c r="R376" s="199"/>
      <c r="S376" s="199"/>
    </row>
    <row r="377" spans="1:19" s="1" customFormat="1" ht="12.75">
      <c r="A377" s="395">
        <v>351530</v>
      </c>
      <c r="B377" s="408" t="s">
        <v>111</v>
      </c>
      <c r="C377" s="397"/>
      <c r="D377" s="436"/>
      <c r="E377" s="436"/>
      <c r="F377" s="418"/>
      <c r="G377" s="544">
        <f t="shared" si="44"/>
        <v>0</v>
      </c>
      <c r="H377" s="538">
        <f t="shared" si="45"/>
        <v>0</v>
      </c>
      <c r="I377" s="539">
        <f t="shared" si="46"/>
        <v>0</v>
      </c>
      <c r="J377" s="540"/>
      <c r="K377" s="403"/>
      <c r="L377" s="541">
        <f t="shared" si="47"/>
      </c>
      <c r="M377" s="542"/>
      <c r="N377" s="544">
        <v>0</v>
      </c>
      <c r="O377" s="542"/>
      <c r="P377" s="545">
        <f>BOKFØRT!C377</f>
        <v>0</v>
      </c>
      <c r="Q377" s="583">
        <f t="shared" si="48"/>
        <v>0</v>
      </c>
      <c r="R377" s="199"/>
      <c r="S377" s="199"/>
    </row>
    <row r="378" spans="1:19" s="1" customFormat="1" ht="12.75">
      <c r="A378" s="395">
        <v>351531</v>
      </c>
      <c r="B378" s="408" t="s">
        <v>112</v>
      </c>
      <c r="C378" s="397"/>
      <c r="D378" s="438"/>
      <c r="E378" s="436"/>
      <c r="F378" s="439">
        <f>IF(D378=0,0,+G377)</f>
        <v>0</v>
      </c>
      <c r="G378" s="544">
        <f t="shared" si="44"/>
        <v>0</v>
      </c>
      <c r="H378" s="538">
        <f t="shared" si="45"/>
        <v>0</v>
      </c>
      <c r="I378" s="539">
        <f t="shared" si="46"/>
        <v>0</v>
      </c>
      <c r="J378" s="540"/>
      <c r="K378" s="403"/>
      <c r="L378" s="541">
        <f t="shared" si="47"/>
      </c>
      <c r="M378" s="542"/>
      <c r="N378" s="544">
        <v>0</v>
      </c>
      <c r="O378" s="542"/>
      <c r="P378" s="545">
        <f>BOKFØRT!C378</f>
        <v>0</v>
      </c>
      <c r="Q378" s="583">
        <f t="shared" si="48"/>
        <v>0</v>
      </c>
      <c r="R378" s="199"/>
      <c r="S378" s="199"/>
    </row>
    <row r="379" spans="1:19" s="1" customFormat="1" ht="12.75">
      <c r="A379" s="395">
        <v>351590</v>
      </c>
      <c r="B379" s="408" t="s">
        <v>113</v>
      </c>
      <c r="C379" s="397"/>
      <c r="D379" s="436"/>
      <c r="E379" s="436"/>
      <c r="F379" s="418"/>
      <c r="G379" s="544">
        <f t="shared" si="44"/>
        <v>0</v>
      </c>
      <c r="H379" s="538">
        <f t="shared" si="45"/>
        <v>0</v>
      </c>
      <c r="I379" s="539">
        <f t="shared" si="46"/>
        <v>0</v>
      </c>
      <c r="J379" s="540"/>
      <c r="K379" s="403"/>
      <c r="L379" s="541">
        <f t="shared" si="47"/>
      </c>
      <c r="M379" s="542"/>
      <c r="N379" s="544">
        <v>0</v>
      </c>
      <c r="O379" s="542"/>
      <c r="P379" s="545">
        <f>BOKFØRT!C379</f>
        <v>0</v>
      </c>
      <c r="Q379" s="583">
        <f t="shared" si="48"/>
        <v>0</v>
      </c>
      <c r="R379" s="199"/>
      <c r="S379" s="199"/>
    </row>
    <row r="380" spans="1:19" s="1" customFormat="1" ht="12.75">
      <c r="A380" s="395">
        <v>351591</v>
      </c>
      <c r="B380" s="408" t="s">
        <v>114</v>
      </c>
      <c r="C380" s="397"/>
      <c r="D380" s="453"/>
      <c r="E380" s="436"/>
      <c r="F380" s="439">
        <f>IF(D380=0,0,+G379)</f>
        <v>0</v>
      </c>
      <c r="G380" s="544">
        <f t="shared" si="44"/>
        <v>0</v>
      </c>
      <c r="H380" s="538">
        <f t="shared" si="45"/>
        <v>0</v>
      </c>
      <c r="I380" s="539">
        <f t="shared" si="46"/>
        <v>0</v>
      </c>
      <c r="J380" s="540"/>
      <c r="K380" s="403"/>
      <c r="L380" s="541">
        <f t="shared" si="47"/>
      </c>
      <c r="M380" s="542"/>
      <c r="N380" s="544">
        <v>0</v>
      </c>
      <c r="O380" s="542"/>
      <c r="P380" s="545">
        <f>BOKFØRT!C380</f>
        <v>0</v>
      </c>
      <c r="Q380" s="583">
        <f t="shared" si="48"/>
        <v>0</v>
      </c>
      <c r="R380" s="199"/>
      <c r="S380" s="199"/>
    </row>
    <row r="381" spans="1:19" s="1" customFormat="1" ht="12.75">
      <c r="A381" s="395">
        <v>354092</v>
      </c>
      <c r="B381" s="408" t="s">
        <v>590</v>
      </c>
      <c r="C381" s="397"/>
      <c r="D381" s="436"/>
      <c r="E381" s="436"/>
      <c r="F381" s="418"/>
      <c r="G381" s="544">
        <f t="shared" si="44"/>
        <v>0</v>
      </c>
      <c r="H381" s="538">
        <f t="shared" si="45"/>
        <v>0</v>
      </c>
      <c r="I381" s="539">
        <f t="shared" si="46"/>
        <v>0</v>
      </c>
      <c r="J381" s="540"/>
      <c r="K381" s="403"/>
      <c r="L381" s="541">
        <f t="shared" si="47"/>
      </c>
      <c r="M381" s="542"/>
      <c r="N381" s="544">
        <v>0</v>
      </c>
      <c r="O381" s="542"/>
      <c r="P381" s="545">
        <f>BOKFØRT!C381</f>
        <v>0</v>
      </c>
      <c r="Q381" s="583">
        <f t="shared" si="48"/>
        <v>0</v>
      </c>
      <c r="R381" s="199"/>
      <c r="S381" s="199"/>
    </row>
    <row r="382" spans="1:19" s="1" customFormat="1" ht="12.75">
      <c r="A382" s="395">
        <v>354095</v>
      </c>
      <c r="B382" s="408" t="s">
        <v>554</v>
      </c>
      <c r="C382" s="397"/>
      <c r="D382" s="440"/>
      <c r="E382" s="440"/>
      <c r="F382" s="413"/>
      <c r="G382" s="562">
        <f>SUM(I375:I381)</f>
        <v>0</v>
      </c>
      <c r="H382" s="414"/>
      <c r="I382" s="546" t="s">
        <v>555</v>
      </c>
      <c r="J382" s="546"/>
      <c r="K382" s="573"/>
      <c r="L382" s="541"/>
      <c r="M382" s="542"/>
      <c r="N382" s="562">
        <v>0</v>
      </c>
      <c r="O382" s="542"/>
      <c r="P382" s="545">
        <f>BOKFØRT!C382</f>
        <v>0</v>
      </c>
      <c r="Q382" s="583">
        <f t="shared" si="48"/>
        <v>0</v>
      </c>
      <c r="R382" s="199"/>
      <c r="S382" s="199"/>
    </row>
    <row r="383" spans="1:19" s="1" customFormat="1" ht="12.75">
      <c r="A383" s="395">
        <v>356520</v>
      </c>
      <c r="B383" s="437" t="s">
        <v>115</v>
      </c>
      <c r="C383" s="397"/>
      <c r="D383" s="436"/>
      <c r="E383" s="436"/>
      <c r="F383" s="418"/>
      <c r="G383" s="544">
        <f aca="true" t="shared" si="49" ref="G383:G401">IF(X=0,(IF(Me=0,Sa,Me*Sa)),(IF(Me=0,Sa*X,Me*X*Sa)))</f>
        <v>0</v>
      </c>
      <c r="H383" s="433"/>
      <c r="I383" s="555"/>
      <c r="J383" s="555"/>
      <c r="K383" s="403"/>
      <c r="L383" s="541">
        <f t="shared" si="47"/>
      </c>
      <c r="M383" s="542"/>
      <c r="N383" s="544">
        <v>0</v>
      </c>
      <c r="O383" s="542"/>
      <c r="P383" s="545">
        <f>BOKFØRT!C383</f>
        <v>0</v>
      </c>
      <c r="Q383" s="583">
        <f t="shared" si="48"/>
        <v>0</v>
      </c>
      <c r="R383" s="199"/>
      <c r="S383" s="199"/>
    </row>
    <row r="384" spans="1:19" s="1" customFormat="1" ht="12.75">
      <c r="A384" s="395">
        <v>356530</v>
      </c>
      <c r="B384" s="408" t="s">
        <v>116</v>
      </c>
      <c r="C384" s="397"/>
      <c r="D384" s="436"/>
      <c r="E384" s="436"/>
      <c r="F384" s="418"/>
      <c r="G384" s="544">
        <f t="shared" si="49"/>
        <v>0</v>
      </c>
      <c r="H384" s="433"/>
      <c r="I384" s="555"/>
      <c r="J384" s="555"/>
      <c r="K384" s="403"/>
      <c r="L384" s="541">
        <f t="shared" si="47"/>
      </c>
      <c r="M384" s="542"/>
      <c r="N384" s="544">
        <v>0</v>
      </c>
      <c r="O384" s="542"/>
      <c r="P384" s="545">
        <f>BOKFØRT!C384</f>
        <v>0</v>
      </c>
      <c r="Q384" s="583">
        <f t="shared" si="48"/>
        <v>0</v>
      </c>
      <c r="R384" s="199"/>
      <c r="S384" s="199"/>
    </row>
    <row r="385" spans="1:19" s="1" customFormat="1" ht="12.75">
      <c r="A385" s="395">
        <v>356532</v>
      </c>
      <c r="B385" s="437" t="s">
        <v>117</v>
      </c>
      <c r="C385" s="397"/>
      <c r="D385" s="436"/>
      <c r="E385" s="436"/>
      <c r="F385" s="418"/>
      <c r="G385" s="544">
        <f t="shared" si="49"/>
        <v>0</v>
      </c>
      <c r="H385" s="433"/>
      <c r="I385" s="555"/>
      <c r="J385" s="555"/>
      <c r="K385" s="403"/>
      <c r="L385" s="541">
        <f t="shared" si="47"/>
      </c>
      <c r="M385" s="542"/>
      <c r="N385" s="544">
        <v>0</v>
      </c>
      <c r="O385" s="542"/>
      <c r="P385" s="545">
        <f>BOKFØRT!C385</f>
        <v>0</v>
      </c>
      <c r="Q385" s="583">
        <f t="shared" si="48"/>
        <v>0</v>
      </c>
      <c r="R385" s="199"/>
      <c r="S385" s="199"/>
    </row>
    <row r="386" spans="1:19" s="1" customFormat="1" ht="12.75">
      <c r="A386" s="395">
        <v>356534</v>
      </c>
      <c r="B386" s="408" t="s">
        <v>118</v>
      </c>
      <c r="C386" s="397"/>
      <c r="D386" s="436"/>
      <c r="E386" s="436"/>
      <c r="F386" s="418"/>
      <c r="G386" s="544">
        <f t="shared" si="49"/>
        <v>0</v>
      </c>
      <c r="H386" s="433"/>
      <c r="I386" s="555"/>
      <c r="J386" s="555"/>
      <c r="K386" s="403"/>
      <c r="L386" s="541">
        <f t="shared" si="47"/>
      </c>
      <c r="M386" s="542"/>
      <c r="N386" s="544">
        <v>0</v>
      </c>
      <c r="O386" s="542"/>
      <c r="P386" s="545">
        <f>BOKFØRT!C386</f>
        <v>0</v>
      </c>
      <c r="Q386" s="583">
        <f t="shared" si="48"/>
        <v>0</v>
      </c>
      <c r="R386" s="199"/>
      <c r="S386" s="199"/>
    </row>
    <row r="387" spans="1:19" s="1" customFormat="1" ht="12.75">
      <c r="A387" s="395">
        <v>356540</v>
      </c>
      <c r="B387" s="408" t="s">
        <v>119</v>
      </c>
      <c r="C387" s="397"/>
      <c r="D387" s="436"/>
      <c r="E387" s="436"/>
      <c r="F387" s="418"/>
      <c r="G387" s="544">
        <f t="shared" si="49"/>
        <v>0</v>
      </c>
      <c r="H387" s="433"/>
      <c r="I387" s="555"/>
      <c r="J387" s="555"/>
      <c r="K387" s="403"/>
      <c r="L387" s="541">
        <f t="shared" si="47"/>
      </c>
      <c r="M387" s="542"/>
      <c r="N387" s="544">
        <v>0</v>
      </c>
      <c r="O387" s="542"/>
      <c r="P387" s="545">
        <f>BOKFØRT!C387</f>
        <v>0</v>
      </c>
      <c r="Q387" s="583">
        <f t="shared" si="48"/>
        <v>0</v>
      </c>
      <c r="R387" s="199"/>
      <c r="S387" s="199"/>
    </row>
    <row r="388" spans="1:19" s="1" customFormat="1" ht="12.75">
      <c r="A388" s="395">
        <v>356542</v>
      </c>
      <c r="B388" s="408" t="s">
        <v>120</v>
      </c>
      <c r="C388" s="397"/>
      <c r="D388" s="436"/>
      <c r="E388" s="436"/>
      <c r="F388" s="418"/>
      <c r="G388" s="544">
        <f t="shared" si="49"/>
        <v>0</v>
      </c>
      <c r="H388" s="433"/>
      <c r="I388" s="555"/>
      <c r="J388" s="555"/>
      <c r="K388" s="403"/>
      <c r="L388" s="541">
        <f t="shared" si="47"/>
      </c>
      <c r="M388" s="542"/>
      <c r="N388" s="544">
        <v>0</v>
      </c>
      <c r="O388" s="542"/>
      <c r="P388" s="545">
        <f>BOKFØRT!C388</f>
        <v>0</v>
      </c>
      <c r="Q388" s="583">
        <f t="shared" si="48"/>
        <v>0</v>
      </c>
      <c r="R388" s="199"/>
      <c r="S388" s="199"/>
    </row>
    <row r="389" spans="1:19" s="1" customFormat="1" ht="12.75">
      <c r="A389" s="395">
        <v>356543</v>
      </c>
      <c r="B389" s="408" t="s">
        <v>121</v>
      </c>
      <c r="C389" s="397"/>
      <c r="D389" s="436"/>
      <c r="E389" s="436"/>
      <c r="F389" s="418"/>
      <c r="G389" s="544">
        <f t="shared" si="49"/>
        <v>0</v>
      </c>
      <c r="H389" s="433"/>
      <c r="I389" s="555"/>
      <c r="J389" s="555"/>
      <c r="K389" s="403"/>
      <c r="L389" s="541">
        <f t="shared" si="47"/>
      </c>
      <c r="M389" s="542"/>
      <c r="N389" s="544">
        <v>0</v>
      </c>
      <c r="O389" s="542"/>
      <c r="P389" s="545">
        <f>BOKFØRT!C389</f>
        <v>0</v>
      </c>
      <c r="Q389" s="583">
        <f t="shared" si="48"/>
        <v>0</v>
      </c>
      <c r="R389" s="199"/>
      <c r="S389" s="199"/>
    </row>
    <row r="390" spans="1:19" s="1" customFormat="1" ht="12.75">
      <c r="A390" s="395">
        <v>356545</v>
      </c>
      <c r="B390" s="408" t="s">
        <v>122</v>
      </c>
      <c r="C390" s="397"/>
      <c r="D390" s="436"/>
      <c r="E390" s="436"/>
      <c r="F390" s="418"/>
      <c r="G390" s="544">
        <f t="shared" si="49"/>
        <v>0</v>
      </c>
      <c r="H390" s="433"/>
      <c r="I390" s="555"/>
      <c r="J390" s="555"/>
      <c r="K390" s="403"/>
      <c r="L390" s="541">
        <f t="shared" si="47"/>
      </c>
      <c r="M390" s="542"/>
      <c r="N390" s="544">
        <v>0</v>
      </c>
      <c r="O390" s="542"/>
      <c r="P390" s="545">
        <f>BOKFØRT!C390</f>
        <v>0</v>
      </c>
      <c r="Q390" s="583">
        <f t="shared" si="48"/>
        <v>0</v>
      </c>
      <c r="R390" s="199"/>
      <c r="S390" s="199"/>
    </row>
    <row r="391" spans="1:19" s="1" customFormat="1" ht="12.75">
      <c r="A391" s="395">
        <v>356550</v>
      </c>
      <c r="B391" s="408" t="s">
        <v>123</v>
      </c>
      <c r="C391" s="397"/>
      <c r="D391" s="436"/>
      <c r="E391" s="436"/>
      <c r="F391" s="418"/>
      <c r="G391" s="544">
        <f t="shared" si="49"/>
        <v>0</v>
      </c>
      <c r="H391" s="414"/>
      <c r="I391" s="540"/>
      <c r="J391" s="540"/>
      <c r="K391" s="403"/>
      <c r="L391" s="541">
        <f t="shared" si="47"/>
      </c>
      <c r="M391" s="542"/>
      <c r="N391" s="544">
        <v>0</v>
      </c>
      <c r="O391" s="542"/>
      <c r="P391" s="545">
        <f>BOKFØRT!C391</f>
        <v>0</v>
      </c>
      <c r="Q391" s="583">
        <f t="shared" si="48"/>
        <v>0</v>
      </c>
      <c r="R391" s="199"/>
      <c r="S391" s="199"/>
    </row>
    <row r="392" spans="1:19" s="1" customFormat="1" ht="12.75">
      <c r="A392" s="395">
        <v>356560</v>
      </c>
      <c r="B392" s="408" t="s">
        <v>124</v>
      </c>
      <c r="C392" s="397"/>
      <c r="D392" s="436"/>
      <c r="E392" s="436"/>
      <c r="F392" s="418"/>
      <c r="G392" s="544">
        <f t="shared" si="49"/>
        <v>0</v>
      </c>
      <c r="H392" s="414"/>
      <c r="I392" s="540"/>
      <c r="J392" s="540"/>
      <c r="K392" s="403"/>
      <c r="L392" s="541">
        <f t="shared" si="47"/>
      </c>
      <c r="M392" s="542"/>
      <c r="N392" s="544">
        <v>0</v>
      </c>
      <c r="O392" s="542"/>
      <c r="P392" s="545">
        <f>BOKFØRT!C392</f>
        <v>0</v>
      </c>
      <c r="Q392" s="583">
        <f t="shared" si="48"/>
        <v>0</v>
      </c>
      <c r="R392" s="199"/>
      <c r="S392" s="199"/>
    </row>
    <row r="393" spans="1:19" s="1" customFormat="1" ht="12.75">
      <c r="A393" s="395">
        <v>359010</v>
      </c>
      <c r="B393" s="408" t="s">
        <v>556</v>
      </c>
      <c r="C393" s="397"/>
      <c r="D393" s="436"/>
      <c r="E393" s="436"/>
      <c r="F393" s="418"/>
      <c r="G393" s="544">
        <f t="shared" si="49"/>
        <v>0</v>
      </c>
      <c r="H393" s="414"/>
      <c r="I393" s="540"/>
      <c r="J393" s="540"/>
      <c r="K393" s="403"/>
      <c r="L393" s="541">
        <f t="shared" si="47"/>
      </c>
      <c r="M393" s="542"/>
      <c r="N393" s="544">
        <v>0</v>
      </c>
      <c r="O393" s="542"/>
      <c r="P393" s="545">
        <f>BOKFØRT!C393</f>
        <v>0</v>
      </c>
      <c r="Q393" s="583">
        <f t="shared" si="48"/>
        <v>0</v>
      </c>
      <c r="R393" s="199"/>
      <c r="S393" s="199"/>
    </row>
    <row r="394" spans="1:19" s="1" customFormat="1" ht="12.75">
      <c r="A394" s="395">
        <v>359011</v>
      </c>
      <c r="B394" s="408" t="s">
        <v>11</v>
      </c>
      <c r="C394" s="397"/>
      <c r="D394" s="436"/>
      <c r="E394" s="436"/>
      <c r="F394" s="418"/>
      <c r="G394" s="544">
        <f t="shared" si="49"/>
        <v>0</v>
      </c>
      <c r="H394" s="414"/>
      <c r="I394" s="540"/>
      <c r="J394" s="540"/>
      <c r="K394" s="403"/>
      <c r="L394" s="541">
        <f t="shared" si="47"/>
      </c>
      <c r="M394" s="542"/>
      <c r="N394" s="544">
        <v>0</v>
      </c>
      <c r="O394" s="542"/>
      <c r="P394" s="545">
        <f>BOKFØRT!C394</f>
        <v>0</v>
      </c>
      <c r="Q394" s="583">
        <f t="shared" si="48"/>
        <v>0</v>
      </c>
      <c r="R394" s="199"/>
      <c r="S394" s="199"/>
    </row>
    <row r="395" spans="1:19" s="1" customFormat="1" ht="12.75">
      <c r="A395" s="395">
        <v>359027</v>
      </c>
      <c r="B395" s="408" t="s">
        <v>15</v>
      </c>
      <c r="C395" s="397"/>
      <c r="D395" s="436"/>
      <c r="E395" s="436"/>
      <c r="F395" s="418"/>
      <c r="G395" s="544">
        <f t="shared" si="49"/>
        <v>0</v>
      </c>
      <c r="H395" s="414"/>
      <c r="I395" s="540"/>
      <c r="J395" s="540"/>
      <c r="K395" s="403"/>
      <c r="L395" s="541">
        <f t="shared" si="47"/>
      </c>
      <c r="M395" s="542"/>
      <c r="N395" s="544">
        <v>0</v>
      </c>
      <c r="O395" s="542"/>
      <c r="P395" s="545">
        <f>BOKFØRT!C395</f>
        <v>0</v>
      </c>
      <c r="Q395" s="583">
        <f t="shared" si="48"/>
        <v>0</v>
      </c>
      <c r="R395" s="199"/>
      <c r="S395" s="199"/>
    </row>
    <row r="396" spans="1:19" s="1" customFormat="1" ht="12.75">
      <c r="A396" s="395">
        <v>359050</v>
      </c>
      <c r="B396" s="408" t="s">
        <v>17</v>
      </c>
      <c r="C396" s="397"/>
      <c r="D396" s="436"/>
      <c r="E396" s="436"/>
      <c r="F396" s="418"/>
      <c r="G396" s="544">
        <f t="shared" si="49"/>
        <v>0</v>
      </c>
      <c r="H396" s="414"/>
      <c r="I396" s="540"/>
      <c r="J396" s="540"/>
      <c r="K396" s="403"/>
      <c r="L396" s="541">
        <f t="shared" si="47"/>
      </c>
      <c r="M396" s="542"/>
      <c r="N396" s="544">
        <v>0</v>
      </c>
      <c r="O396" s="542"/>
      <c r="P396" s="545">
        <f>BOKFØRT!C396</f>
        <v>0</v>
      </c>
      <c r="Q396" s="583">
        <f t="shared" si="48"/>
        <v>0</v>
      </c>
      <c r="R396" s="199"/>
      <c r="S396" s="199"/>
    </row>
    <row r="397" spans="1:19" s="1" customFormat="1" ht="12.75">
      <c r="A397" s="395">
        <v>359052</v>
      </c>
      <c r="B397" s="408" t="s">
        <v>85</v>
      </c>
      <c r="C397" s="397"/>
      <c r="D397" s="436"/>
      <c r="E397" s="436"/>
      <c r="F397" s="418"/>
      <c r="G397" s="544">
        <f t="shared" si="49"/>
        <v>0</v>
      </c>
      <c r="H397" s="414"/>
      <c r="I397" s="540"/>
      <c r="J397" s="540"/>
      <c r="K397" s="403"/>
      <c r="L397" s="541">
        <f t="shared" si="47"/>
      </c>
      <c r="M397" s="542"/>
      <c r="N397" s="544">
        <v>0</v>
      </c>
      <c r="O397" s="542"/>
      <c r="P397" s="545">
        <f>BOKFØRT!C397</f>
        <v>0</v>
      </c>
      <c r="Q397" s="583">
        <f t="shared" si="48"/>
        <v>0</v>
      </c>
      <c r="R397" s="199"/>
      <c r="S397" s="199"/>
    </row>
    <row r="398" spans="1:19" s="1" customFormat="1" ht="12.75">
      <c r="A398" s="395">
        <v>359053</v>
      </c>
      <c r="B398" s="408" t="s">
        <v>86</v>
      </c>
      <c r="C398" s="397"/>
      <c r="D398" s="436"/>
      <c r="E398" s="436"/>
      <c r="F398" s="418"/>
      <c r="G398" s="544">
        <f t="shared" si="49"/>
        <v>0</v>
      </c>
      <c r="H398" s="414"/>
      <c r="I398" s="540"/>
      <c r="J398" s="540"/>
      <c r="K398" s="403"/>
      <c r="L398" s="541">
        <f t="shared" si="47"/>
      </c>
      <c r="M398" s="542"/>
      <c r="N398" s="544">
        <v>0</v>
      </c>
      <c r="O398" s="542"/>
      <c r="P398" s="545">
        <f>BOKFØRT!C398</f>
        <v>0</v>
      </c>
      <c r="Q398" s="583">
        <f t="shared" si="48"/>
        <v>0</v>
      </c>
      <c r="R398" s="199"/>
      <c r="S398" s="199"/>
    </row>
    <row r="399" spans="1:19" s="1" customFormat="1" ht="12.75">
      <c r="A399" s="395">
        <v>359054</v>
      </c>
      <c r="B399" s="408" t="s">
        <v>87</v>
      </c>
      <c r="C399" s="397"/>
      <c r="D399" s="436"/>
      <c r="E399" s="436"/>
      <c r="F399" s="418"/>
      <c r="G399" s="544">
        <f t="shared" si="49"/>
        <v>0</v>
      </c>
      <c r="H399" s="414"/>
      <c r="I399" s="540"/>
      <c r="J399" s="540"/>
      <c r="K399" s="403"/>
      <c r="L399" s="541">
        <f t="shared" si="47"/>
      </c>
      <c r="M399" s="542"/>
      <c r="N399" s="544">
        <v>0</v>
      </c>
      <c r="O399" s="542"/>
      <c r="P399" s="545">
        <f>BOKFØRT!C399</f>
        <v>0</v>
      </c>
      <c r="Q399" s="583">
        <f t="shared" si="48"/>
        <v>0</v>
      </c>
      <c r="R399" s="199"/>
      <c r="S399" s="199"/>
    </row>
    <row r="400" spans="1:19" s="1" customFormat="1" ht="12.75">
      <c r="A400" s="395">
        <v>359064</v>
      </c>
      <c r="B400" s="408" t="s">
        <v>21</v>
      </c>
      <c r="C400" s="397"/>
      <c r="D400" s="436"/>
      <c r="E400" s="436"/>
      <c r="F400" s="418"/>
      <c r="G400" s="544">
        <f t="shared" si="49"/>
        <v>0</v>
      </c>
      <c r="H400" s="414"/>
      <c r="I400" s="540"/>
      <c r="J400" s="540"/>
      <c r="K400" s="403"/>
      <c r="L400" s="541">
        <f t="shared" si="47"/>
      </c>
      <c r="M400" s="542"/>
      <c r="N400" s="544">
        <v>0</v>
      </c>
      <c r="O400" s="542"/>
      <c r="P400" s="545">
        <f>BOKFØRT!C400</f>
        <v>0</v>
      </c>
      <c r="Q400" s="583">
        <f t="shared" si="48"/>
        <v>0</v>
      </c>
      <c r="R400" s="199"/>
      <c r="S400" s="199"/>
    </row>
    <row r="401" spans="1:19" s="1" customFormat="1" ht="12.75">
      <c r="A401" s="395">
        <v>359069</v>
      </c>
      <c r="B401" s="420" t="s">
        <v>564</v>
      </c>
      <c r="C401" s="421" t="s">
        <v>416</v>
      </c>
      <c r="D401" s="422"/>
      <c r="E401" s="422"/>
      <c r="F401" s="423"/>
      <c r="G401" s="548">
        <f t="shared" si="49"/>
        <v>0</v>
      </c>
      <c r="H401" s="414"/>
      <c r="I401" s="540"/>
      <c r="J401" s="540"/>
      <c r="K401" s="403"/>
      <c r="L401" s="541">
        <f t="shared" si="47"/>
      </c>
      <c r="M401" s="542"/>
      <c r="N401" s="548">
        <v>0</v>
      </c>
      <c r="O401" s="542"/>
      <c r="P401" s="550">
        <f>BOKFØRT!C401</f>
        <v>0</v>
      </c>
      <c r="Q401" s="583">
        <f t="shared" si="48"/>
        <v>0</v>
      </c>
      <c r="R401" s="199"/>
      <c r="S401" s="199"/>
    </row>
    <row r="402" spans="1:19" s="1" customFormat="1" ht="13.5" thickBot="1">
      <c r="A402" s="445" t="s">
        <v>401</v>
      </c>
      <c r="B402" s="426"/>
      <c r="C402" s="451"/>
      <c r="D402" s="433"/>
      <c r="E402" s="434"/>
      <c r="F402" s="448" t="s">
        <v>570</v>
      </c>
      <c r="G402" s="558">
        <f>SUM(G375:G401)</f>
        <v>0</v>
      </c>
      <c r="H402" s="414"/>
      <c r="I402" s="555"/>
      <c r="J402" s="555"/>
      <c r="K402" s="394"/>
      <c r="L402" s="558">
        <f>SUM(L375:L401)</f>
        <v>0</v>
      </c>
      <c r="M402" s="542"/>
      <c r="N402" s="558">
        <v>0</v>
      </c>
      <c r="O402" s="542"/>
      <c r="P402" s="559">
        <f>SUM(P375:P401)</f>
        <v>0</v>
      </c>
      <c r="Q402" s="583">
        <f t="shared" si="48"/>
        <v>0</v>
      </c>
      <c r="R402" s="199"/>
      <c r="S402" s="199"/>
    </row>
    <row r="403" spans="1:19" s="1" customFormat="1" ht="0.75" customHeight="1" thickTop="1">
      <c r="A403" s="431"/>
      <c r="B403" s="432"/>
      <c r="C403" s="427"/>
      <c r="D403" s="433"/>
      <c r="E403" s="434"/>
      <c r="F403" s="448"/>
      <c r="G403" s="540"/>
      <c r="H403" s="414"/>
      <c r="I403" s="540"/>
      <c r="J403" s="540"/>
      <c r="K403" s="394"/>
      <c r="L403" s="555"/>
      <c r="M403" s="542"/>
      <c r="N403" s="540"/>
      <c r="O403" s="542"/>
      <c r="P403" s="561"/>
      <c r="Q403" s="583"/>
      <c r="R403" s="199"/>
      <c r="S403" s="199"/>
    </row>
    <row r="404" spans="1:19" s="1" customFormat="1" ht="24.75" customHeight="1" thickTop="1">
      <c r="A404" s="391" t="s">
        <v>524</v>
      </c>
      <c r="B404" s="435"/>
      <c r="C404" s="427"/>
      <c r="D404" s="511" t="s">
        <v>422</v>
      </c>
      <c r="E404" s="512" t="s">
        <v>423</v>
      </c>
      <c r="F404" s="511" t="s">
        <v>424</v>
      </c>
      <c r="G404" s="533" t="s">
        <v>425</v>
      </c>
      <c r="H404" s="511" t="s">
        <v>426</v>
      </c>
      <c r="I404" s="534" t="s">
        <v>427</v>
      </c>
      <c r="J404" s="534"/>
      <c r="K404" s="394"/>
      <c r="L404" s="533" t="s">
        <v>688</v>
      </c>
      <c r="M404" s="536"/>
      <c r="N404" s="533" t="s">
        <v>425</v>
      </c>
      <c r="O404" s="536"/>
      <c r="P404" s="533" t="s">
        <v>677</v>
      </c>
      <c r="Q404" s="583"/>
      <c r="R404" s="199"/>
      <c r="S404" s="199"/>
    </row>
    <row r="405" spans="1:19" s="1" customFormat="1" ht="12.75">
      <c r="A405" s="395">
        <v>361610</v>
      </c>
      <c r="B405" s="408" t="s">
        <v>581</v>
      </c>
      <c r="C405" s="397"/>
      <c r="D405" s="436"/>
      <c r="E405" s="436"/>
      <c r="F405" s="418"/>
      <c r="G405" s="537">
        <f aca="true" t="shared" si="50" ref="G405:G417">IF(X=0,(IF(Me=0,Sa,Me*Sa)),(IF(Me=0,Sa*X,Me*X*Sa)))</f>
        <v>0</v>
      </c>
      <c r="H405" s="538">
        <f aca="true" t="shared" si="51" ref="H405:H417">IF(Sum,Sos,0)</f>
        <v>0</v>
      </c>
      <c r="I405" s="539">
        <f aca="true" t="shared" si="52" ref="I405:I417">IF(Prosent&lt;&gt;0,(Sum*Prosent)/100,0)</f>
        <v>0</v>
      </c>
      <c r="J405" s="540"/>
      <c r="K405" s="403"/>
      <c r="L405" s="541">
        <f aca="true" t="shared" si="53" ref="L405:L434">IF(FMVAE&lt;&gt;"",(Sum*mva)-Sum,"")</f>
      </c>
      <c r="M405" s="542"/>
      <c r="N405" s="537">
        <v>0</v>
      </c>
      <c r="O405" s="542"/>
      <c r="P405" s="543">
        <f>BOKFØRT!C405</f>
        <v>0</v>
      </c>
      <c r="Q405" s="583">
        <f aca="true" t="shared" si="54" ref="Q405:Q435">G405+N405+P405</f>
        <v>0</v>
      </c>
      <c r="R405" s="199"/>
      <c r="S405" s="199"/>
    </row>
    <row r="406" spans="1:19" s="1" customFormat="1" ht="12.75">
      <c r="A406" s="395">
        <v>361611</v>
      </c>
      <c r="B406" s="437" t="s">
        <v>583</v>
      </c>
      <c r="C406" s="397"/>
      <c r="D406" s="438"/>
      <c r="E406" s="436"/>
      <c r="F406" s="439">
        <f>IF(D406=0,0,+G405)</f>
        <v>0</v>
      </c>
      <c r="G406" s="544">
        <f t="shared" si="50"/>
        <v>0</v>
      </c>
      <c r="H406" s="538">
        <f t="shared" si="51"/>
        <v>0</v>
      </c>
      <c r="I406" s="539">
        <f t="shared" si="52"/>
        <v>0</v>
      </c>
      <c r="J406" s="540"/>
      <c r="K406" s="403"/>
      <c r="L406" s="541">
        <f t="shared" si="53"/>
      </c>
      <c r="M406" s="542"/>
      <c r="N406" s="544">
        <v>0</v>
      </c>
      <c r="O406" s="542"/>
      <c r="P406" s="545">
        <f>BOKFØRT!C406</f>
        <v>0</v>
      </c>
      <c r="Q406" s="583">
        <f t="shared" si="54"/>
        <v>0</v>
      </c>
      <c r="R406" s="199"/>
      <c r="S406" s="199"/>
    </row>
    <row r="407" spans="1:19" s="1" customFormat="1" ht="12.75">
      <c r="A407" s="395">
        <v>361612</v>
      </c>
      <c r="B407" s="408" t="s">
        <v>125</v>
      </c>
      <c r="C407" s="397"/>
      <c r="D407" s="436"/>
      <c r="E407" s="436"/>
      <c r="F407" s="418"/>
      <c r="G407" s="544">
        <f t="shared" si="50"/>
        <v>0</v>
      </c>
      <c r="H407" s="538">
        <f t="shared" si="51"/>
        <v>0</v>
      </c>
      <c r="I407" s="539">
        <f t="shared" si="52"/>
        <v>0</v>
      </c>
      <c r="J407" s="540"/>
      <c r="K407" s="403"/>
      <c r="L407" s="541">
        <f t="shared" si="53"/>
      </c>
      <c r="M407" s="542"/>
      <c r="N407" s="544">
        <v>0</v>
      </c>
      <c r="O407" s="542"/>
      <c r="P407" s="545">
        <f>BOKFØRT!C407</f>
        <v>0</v>
      </c>
      <c r="Q407" s="583">
        <f t="shared" si="54"/>
        <v>0</v>
      </c>
      <c r="R407" s="199"/>
      <c r="S407" s="199"/>
    </row>
    <row r="408" spans="1:19" s="1" customFormat="1" ht="12.75">
      <c r="A408" s="395">
        <v>361613</v>
      </c>
      <c r="B408" s="437" t="s">
        <v>126</v>
      </c>
      <c r="C408" s="397"/>
      <c r="D408" s="438"/>
      <c r="E408" s="436"/>
      <c r="F408" s="439">
        <f>IF(D408=0,0,+G407)</f>
        <v>0</v>
      </c>
      <c r="G408" s="544">
        <f t="shared" si="50"/>
        <v>0</v>
      </c>
      <c r="H408" s="538">
        <f t="shared" si="51"/>
        <v>0</v>
      </c>
      <c r="I408" s="539">
        <f t="shared" si="52"/>
        <v>0</v>
      </c>
      <c r="J408" s="540"/>
      <c r="K408" s="403"/>
      <c r="L408" s="541">
        <f t="shared" si="53"/>
      </c>
      <c r="M408" s="542"/>
      <c r="N408" s="544">
        <v>0</v>
      </c>
      <c r="O408" s="542"/>
      <c r="P408" s="545">
        <f>BOKFØRT!C408</f>
        <v>0</v>
      </c>
      <c r="Q408" s="583">
        <f t="shared" si="54"/>
        <v>0</v>
      </c>
      <c r="R408" s="199"/>
      <c r="S408" s="199"/>
    </row>
    <row r="409" spans="1:19" s="1" customFormat="1" ht="12.75">
      <c r="A409" s="395">
        <v>361614</v>
      </c>
      <c r="B409" s="408" t="s">
        <v>739</v>
      </c>
      <c r="C409" s="397"/>
      <c r="D409" s="436"/>
      <c r="E409" s="436"/>
      <c r="F409" s="418"/>
      <c r="G409" s="544">
        <f t="shared" si="50"/>
        <v>0</v>
      </c>
      <c r="H409" s="538">
        <f t="shared" si="51"/>
        <v>0</v>
      </c>
      <c r="I409" s="539">
        <f t="shared" si="52"/>
        <v>0</v>
      </c>
      <c r="J409" s="540"/>
      <c r="K409" s="403"/>
      <c r="L409" s="541">
        <f t="shared" si="53"/>
      </c>
      <c r="M409" s="542"/>
      <c r="N409" s="544">
        <v>0</v>
      </c>
      <c r="O409" s="542"/>
      <c r="P409" s="545">
        <f>BOKFØRT!C409</f>
        <v>0</v>
      </c>
      <c r="Q409" s="583">
        <f>G409+N409+P409</f>
        <v>0</v>
      </c>
      <c r="R409" s="199"/>
      <c r="S409" s="199"/>
    </row>
    <row r="410" spans="1:19" s="1" customFormat="1" ht="12.75">
      <c r="A410" s="395">
        <v>361615</v>
      </c>
      <c r="B410" s="437" t="s">
        <v>740</v>
      </c>
      <c r="C410" s="397"/>
      <c r="D410" s="438"/>
      <c r="E410" s="436"/>
      <c r="F410" s="439">
        <f>IF(D410=0,0,+G409)</f>
        <v>0</v>
      </c>
      <c r="G410" s="544">
        <f t="shared" si="50"/>
        <v>0</v>
      </c>
      <c r="H410" s="538">
        <f t="shared" si="51"/>
        <v>0</v>
      </c>
      <c r="I410" s="539">
        <f t="shared" si="52"/>
        <v>0</v>
      </c>
      <c r="J410" s="540"/>
      <c r="K410" s="403"/>
      <c r="L410" s="541">
        <f t="shared" si="53"/>
      </c>
      <c r="M410" s="542"/>
      <c r="N410" s="544">
        <v>0</v>
      </c>
      <c r="O410" s="542"/>
      <c r="P410" s="545">
        <f>BOKFØRT!C410</f>
        <v>0</v>
      </c>
      <c r="Q410" s="583">
        <f>G410+N410+P410</f>
        <v>0</v>
      </c>
      <c r="R410" s="199"/>
      <c r="S410" s="199"/>
    </row>
    <row r="411" spans="1:19" s="1" customFormat="1" ht="12.75">
      <c r="A411" s="395">
        <v>361620</v>
      </c>
      <c r="B411" s="408" t="s">
        <v>127</v>
      </c>
      <c r="C411" s="397"/>
      <c r="D411" s="436"/>
      <c r="E411" s="436"/>
      <c r="F411" s="418"/>
      <c r="G411" s="544">
        <f t="shared" si="50"/>
        <v>0</v>
      </c>
      <c r="H411" s="538">
        <f t="shared" si="51"/>
        <v>0</v>
      </c>
      <c r="I411" s="539">
        <f t="shared" si="52"/>
        <v>0</v>
      </c>
      <c r="J411" s="540"/>
      <c r="K411" s="403"/>
      <c r="L411" s="541">
        <f t="shared" si="53"/>
      </c>
      <c r="M411" s="542"/>
      <c r="N411" s="544">
        <v>0</v>
      </c>
      <c r="O411" s="542"/>
      <c r="P411" s="545">
        <f>BOKFØRT!C411</f>
        <v>0</v>
      </c>
      <c r="Q411" s="583">
        <f t="shared" si="54"/>
        <v>0</v>
      </c>
      <c r="R411" s="199"/>
      <c r="S411" s="199"/>
    </row>
    <row r="412" spans="1:19" s="1" customFormat="1" ht="12.75">
      <c r="A412" s="395">
        <v>361621</v>
      </c>
      <c r="B412" s="437" t="s">
        <v>128</v>
      </c>
      <c r="C412" s="397"/>
      <c r="D412" s="438"/>
      <c r="E412" s="436"/>
      <c r="F412" s="439">
        <f>IF(D412=0,0,+G411)</f>
        <v>0</v>
      </c>
      <c r="G412" s="544">
        <f t="shared" si="50"/>
        <v>0</v>
      </c>
      <c r="H412" s="538">
        <f t="shared" si="51"/>
        <v>0</v>
      </c>
      <c r="I412" s="539">
        <f t="shared" si="52"/>
        <v>0</v>
      </c>
      <c r="J412" s="540"/>
      <c r="K412" s="403"/>
      <c r="L412" s="541">
        <f t="shared" si="53"/>
      </c>
      <c r="M412" s="542"/>
      <c r="N412" s="544">
        <v>0</v>
      </c>
      <c r="O412" s="542"/>
      <c r="P412" s="545">
        <f>BOKFØRT!C412</f>
        <v>0</v>
      </c>
      <c r="Q412" s="583">
        <f t="shared" si="54"/>
        <v>0</v>
      </c>
      <c r="R412" s="199"/>
      <c r="S412" s="199"/>
    </row>
    <row r="413" spans="1:19" s="1" customFormat="1" ht="12.75">
      <c r="A413" s="395">
        <v>361630</v>
      </c>
      <c r="B413" s="408" t="s">
        <v>129</v>
      </c>
      <c r="C413" s="397"/>
      <c r="D413" s="436"/>
      <c r="E413" s="436"/>
      <c r="F413" s="418"/>
      <c r="G413" s="544">
        <f t="shared" si="50"/>
        <v>0</v>
      </c>
      <c r="H413" s="538">
        <f t="shared" si="51"/>
        <v>0</v>
      </c>
      <c r="I413" s="539">
        <f t="shared" si="52"/>
        <v>0</v>
      </c>
      <c r="J413" s="540"/>
      <c r="K413" s="403"/>
      <c r="L413" s="541">
        <f t="shared" si="53"/>
      </c>
      <c r="M413" s="542"/>
      <c r="N413" s="544">
        <v>0</v>
      </c>
      <c r="O413" s="542"/>
      <c r="P413" s="545">
        <f>BOKFØRT!C413</f>
        <v>0</v>
      </c>
      <c r="Q413" s="583">
        <f t="shared" si="54"/>
        <v>0</v>
      </c>
      <c r="R413" s="199"/>
      <c r="S413" s="199"/>
    </row>
    <row r="414" spans="1:19" s="1" customFormat="1" ht="12.75">
      <c r="A414" s="395">
        <v>361631</v>
      </c>
      <c r="B414" s="437" t="s">
        <v>130</v>
      </c>
      <c r="C414" s="397"/>
      <c r="D414" s="438"/>
      <c r="E414" s="436"/>
      <c r="F414" s="439">
        <f>IF(D414=0,0,+G413)</f>
        <v>0</v>
      </c>
      <c r="G414" s="544">
        <f t="shared" si="50"/>
        <v>0</v>
      </c>
      <c r="H414" s="538">
        <f t="shared" si="51"/>
        <v>0</v>
      </c>
      <c r="I414" s="539">
        <f t="shared" si="52"/>
        <v>0</v>
      </c>
      <c r="J414" s="540"/>
      <c r="K414" s="403"/>
      <c r="L414" s="541">
        <f t="shared" si="53"/>
      </c>
      <c r="M414" s="542"/>
      <c r="N414" s="544">
        <v>0</v>
      </c>
      <c r="O414" s="542"/>
      <c r="P414" s="545">
        <f>BOKFØRT!C414</f>
        <v>0</v>
      </c>
      <c r="Q414" s="583">
        <f t="shared" si="54"/>
        <v>0</v>
      </c>
      <c r="R414" s="199"/>
      <c r="S414" s="199"/>
    </row>
    <row r="415" spans="1:19" s="1" customFormat="1" ht="12.75">
      <c r="A415" s="395">
        <v>361690</v>
      </c>
      <c r="B415" s="408" t="s">
        <v>131</v>
      </c>
      <c r="C415" s="397"/>
      <c r="D415" s="436"/>
      <c r="E415" s="436"/>
      <c r="F415" s="418"/>
      <c r="G415" s="544">
        <f t="shared" si="50"/>
        <v>0</v>
      </c>
      <c r="H415" s="538">
        <f t="shared" si="51"/>
        <v>0</v>
      </c>
      <c r="I415" s="539">
        <f t="shared" si="52"/>
        <v>0</v>
      </c>
      <c r="J415" s="540"/>
      <c r="K415" s="403"/>
      <c r="L415" s="541">
        <f t="shared" si="53"/>
      </c>
      <c r="M415" s="542"/>
      <c r="N415" s="544">
        <v>0</v>
      </c>
      <c r="O415" s="542"/>
      <c r="P415" s="545">
        <f>BOKFØRT!C415</f>
        <v>0</v>
      </c>
      <c r="Q415" s="583">
        <f t="shared" si="54"/>
        <v>0</v>
      </c>
      <c r="R415" s="199"/>
      <c r="S415" s="199"/>
    </row>
    <row r="416" spans="1:19" s="1" customFormat="1" ht="12.75">
      <c r="A416" s="395">
        <v>361691</v>
      </c>
      <c r="B416" s="408" t="s">
        <v>132</v>
      </c>
      <c r="C416" s="397"/>
      <c r="D416" s="438"/>
      <c r="E416" s="436"/>
      <c r="F416" s="439">
        <f>IF(D416=0,0,+G415)</f>
        <v>0</v>
      </c>
      <c r="G416" s="544">
        <f t="shared" si="50"/>
        <v>0</v>
      </c>
      <c r="H416" s="538">
        <f t="shared" si="51"/>
        <v>0</v>
      </c>
      <c r="I416" s="539">
        <f t="shared" si="52"/>
        <v>0</v>
      </c>
      <c r="J416" s="540"/>
      <c r="K416" s="403"/>
      <c r="L416" s="541">
        <f t="shared" si="53"/>
      </c>
      <c r="M416" s="542"/>
      <c r="N416" s="544">
        <v>0</v>
      </c>
      <c r="O416" s="542"/>
      <c r="P416" s="545">
        <f>BOKFØRT!C416</f>
        <v>0</v>
      </c>
      <c r="Q416" s="583">
        <f t="shared" si="54"/>
        <v>0</v>
      </c>
      <c r="R416" s="199"/>
      <c r="S416" s="199"/>
    </row>
    <row r="417" spans="1:19" s="1" customFormat="1" ht="12.75">
      <c r="A417" s="395">
        <v>364092</v>
      </c>
      <c r="B417" s="408" t="s">
        <v>590</v>
      </c>
      <c r="C417" s="397"/>
      <c r="D417" s="436"/>
      <c r="E417" s="436"/>
      <c r="F417" s="418"/>
      <c r="G417" s="544">
        <f t="shared" si="50"/>
        <v>0</v>
      </c>
      <c r="H417" s="538">
        <f t="shared" si="51"/>
        <v>0</v>
      </c>
      <c r="I417" s="539">
        <f t="shared" si="52"/>
        <v>0</v>
      </c>
      <c r="J417" s="540"/>
      <c r="K417" s="403"/>
      <c r="L417" s="541">
        <f t="shared" si="53"/>
      </c>
      <c r="M417" s="542"/>
      <c r="N417" s="544">
        <v>0</v>
      </c>
      <c r="O417" s="542"/>
      <c r="P417" s="545">
        <f>BOKFØRT!C417</f>
        <v>0</v>
      </c>
      <c r="Q417" s="583">
        <f t="shared" si="54"/>
        <v>0</v>
      </c>
      <c r="R417" s="199"/>
      <c r="S417" s="199"/>
    </row>
    <row r="418" spans="1:19" s="1" customFormat="1" ht="12.75">
      <c r="A418" s="395">
        <v>364095</v>
      </c>
      <c r="B418" s="437" t="s">
        <v>554</v>
      </c>
      <c r="C418" s="397"/>
      <c r="D418" s="440"/>
      <c r="E418" s="440"/>
      <c r="F418" s="449"/>
      <c r="G418" s="562">
        <f>SUM(I405:I417)</f>
        <v>0</v>
      </c>
      <c r="H418" s="414"/>
      <c r="I418" s="546" t="s">
        <v>555</v>
      </c>
      <c r="J418" s="546"/>
      <c r="K418" s="573"/>
      <c r="L418" s="541"/>
      <c r="M418" s="542"/>
      <c r="N418" s="562">
        <v>0</v>
      </c>
      <c r="O418" s="542"/>
      <c r="P418" s="545">
        <f>BOKFØRT!C418</f>
        <v>0</v>
      </c>
      <c r="Q418" s="583">
        <f t="shared" si="54"/>
        <v>0</v>
      </c>
      <c r="R418" s="199"/>
      <c r="S418" s="199"/>
    </row>
    <row r="419" spans="1:19" s="1" customFormat="1" ht="12.75">
      <c r="A419" s="395">
        <v>366620</v>
      </c>
      <c r="B419" s="408" t="s">
        <v>133</v>
      </c>
      <c r="C419" s="397"/>
      <c r="D419" s="436"/>
      <c r="E419" s="436"/>
      <c r="F419" s="418"/>
      <c r="G419" s="544">
        <f aca="true" t="shared" si="55" ref="G419:G434">IF(X=0,(IF(Me=0,Sa,Me*Sa)),(IF(Me=0,Sa*X,Me*X*Sa)))</f>
        <v>0</v>
      </c>
      <c r="H419" s="433"/>
      <c r="I419" s="555"/>
      <c r="J419" s="555"/>
      <c r="K419" s="403"/>
      <c r="L419" s="541">
        <f t="shared" si="53"/>
      </c>
      <c r="M419" s="542"/>
      <c r="N419" s="544">
        <v>0</v>
      </c>
      <c r="O419" s="542"/>
      <c r="P419" s="545">
        <f>BOKFØRT!C419</f>
        <v>0</v>
      </c>
      <c r="Q419" s="583">
        <f t="shared" si="54"/>
        <v>0</v>
      </c>
      <c r="R419" s="199"/>
      <c r="S419" s="199"/>
    </row>
    <row r="420" spans="1:19" s="1" customFormat="1" ht="12.75">
      <c r="A420" s="395">
        <v>366630</v>
      </c>
      <c r="B420" s="408" t="s">
        <v>134</v>
      </c>
      <c r="C420" s="397"/>
      <c r="D420" s="436"/>
      <c r="E420" s="436"/>
      <c r="F420" s="418"/>
      <c r="G420" s="544">
        <f t="shared" si="55"/>
        <v>0</v>
      </c>
      <c r="H420" s="433"/>
      <c r="I420" s="555"/>
      <c r="J420" s="555"/>
      <c r="K420" s="403"/>
      <c r="L420" s="541">
        <f t="shared" si="53"/>
      </c>
      <c r="M420" s="542"/>
      <c r="N420" s="544">
        <v>0</v>
      </c>
      <c r="O420" s="542"/>
      <c r="P420" s="545">
        <f>BOKFØRT!C420</f>
        <v>0</v>
      </c>
      <c r="Q420" s="583">
        <f t="shared" si="54"/>
        <v>0</v>
      </c>
      <c r="R420" s="199"/>
      <c r="S420" s="199"/>
    </row>
    <row r="421" spans="1:19" s="1" customFormat="1" ht="12.75">
      <c r="A421" s="395">
        <v>366640</v>
      </c>
      <c r="B421" s="408" t="s">
        <v>135</v>
      </c>
      <c r="C421" s="397"/>
      <c r="D421" s="436"/>
      <c r="E421" s="436"/>
      <c r="F421" s="418"/>
      <c r="G421" s="544">
        <f t="shared" si="55"/>
        <v>0</v>
      </c>
      <c r="H421" s="433"/>
      <c r="I421" s="555"/>
      <c r="J421" s="555"/>
      <c r="K421" s="403"/>
      <c r="L421" s="541">
        <f t="shared" si="53"/>
      </c>
      <c r="M421" s="542"/>
      <c r="N421" s="544">
        <v>0</v>
      </c>
      <c r="O421" s="542"/>
      <c r="P421" s="545">
        <f>BOKFØRT!C421</f>
        <v>0</v>
      </c>
      <c r="Q421" s="583">
        <f t="shared" si="54"/>
        <v>0</v>
      </c>
      <c r="R421" s="199"/>
      <c r="S421" s="199"/>
    </row>
    <row r="422" spans="1:19" s="1" customFormat="1" ht="12.75">
      <c r="A422" s="395">
        <v>366650</v>
      </c>
      <c r="B422" s="408" t="s">
        <v>136</v>
      </c>
      <c r="C422" s="397"/>
      <c r="D422" s="436"/>
      <c r="E422" s="436"/>
      <c r="F422" s="418"/>
      <c r="G422" s="544">
        <f t="shared" si="55"/>
        <v>0</v>
      </c>
      <c r="H422" s="414"/>
      <c r="I422" s="540"/>
      <c r="J422" s="540"/>
      <c r="K422" s="403"/>
      <c r="L422" s="541">
        <f t="shared" si="53"/>
      </c>
      <c r="M422" s="542"/>
      <c r="N422" s="544">
        <v>0</v>
      </c>
      <c r="O422" s="542"/>
      <c r="P422" s="545">
        <f>BOKFØRT!C422</f>
        <v>0</v>
      </c>
      <c r="Q422" s="583">
        <f t="shared" si="54"/>
        <v>0</v>
      </c>
      <c r="R422" s="199"/>
      <c r="S422" s="199"/>
    </row>
    <row r="423" spans="1:19" s="1" customFormat="1" ht="12.75">
      <c r="A423" s="395">
        <v>366660</v>
      </c>
      <c r="B423" s="408" t="s">
        <v>137</v>
      </c>
      <c r="C423" s="397"/>
      <c r="D423" s="436"/>
      <c r="E423" s="436"/>
      <c r="F423" s="418"/>
      <c r="G423" s="544">
        <f t="shared" si="55"/>
        <v>0</v>
      </c>
      <c r="H423" s="414"/>
      <c r="I423" s="540"/>
      <c r="J423" s="540"/>
      <c r="K423" s="403"/>
      <c r="L423" s="541">
        <f t="shared" si="53"/>
      </c>
      <c r="M423" s="542"/>
      <c r="N423" s="544">
        <v>0</v>
      </c>
      <c r="O423" s="542"/>
      <c r="P423" s="545">
        <f>BOKFØRT!C423</f>
        <v>0</v>
      </c>
      <c r="Q423" s="583">
        <f t="shared" si="54"/>
        <v>0</v>
      </c>
      <c r="R423" s="199"/>
      <c r="S423" s="199"/>
    </row>
    <row r="424" spans="1:19" s="1" customFormat="1" ht="12.75">
      <c r="A424" s="395">
        <v>366670</v>
      </c>
      <c r="B424" s="408" t="s">
        <v>138</v>
      </c>
      <c r="C424" s="397"/>
      <c r="D424" s="436"/>
      <c r="E424" s="436"/>
      <c r="F424" s="418"/>
      <c r="G424" s="544">
        <f t="shared" si="55"/>
        <v>0</v>
      </c>
      <c r="H424" s="414"/>
      <c r="I424" s="540"/>
      <c r="J424" s="540"/>
      <c r="K424" s="403"/>
      <c r="L424" s="541">
        <f t="shared" si="53"/>
      </c>
      <c r="M424" s="542"/>
      <c r="N424" s="544">
        <v>0</v>
      </c>
      <c r="O424" s="542"/>
      <c r="P424" s="545">
        <f>BOKFØRT!C424</f>
        <v>0</v>
      </c>
      <c r="Q424" s="583">
        <f t="shared" si="54"/>
        <v>0</v>
      </c>
      <c r="R424" s="199"/>
      <c r="S424" s="199"/>
    </row>
    <row r="425" spans="1:19" s="1" customFormat="1" ht="12.75">
      <c r="A425" s="395">
        <v>369011</v>
      </c>
      <c r="B425" s="408" t="s">
        <v>11</v>
      </c>
      <c r="C425" s="397"/>
      <c r="D425" s="436"/>
      <c r="E425" s="436"/>
      <c r="F425" s="418"/>
      <c r="G425" s="544">
        <f t="shared" si="55"/>
        <v>0</v>
      </c>
      <c r="H425" s="414"/>
      <c r="I425" s="540"/>
      <c r="J425" s="540"/>
      <c r="K425" s="403"/>
      <c r="L425" s="541">
        <f t="shared" si="53"/>
      </c>
      <c r="M425" s="542"/>
      <c r="N425" s="544">
        <v>0</v>
      </c>
      <c r="O425" s="542"/>
      <c r="P425" s="545">
        <f>BOKFØRT!C425</f>
        <v>0</v>
      </c>
      <c r="Q425" s="583">
        <f t="shared" si="54"/>
        <v>0</v>
      </c>
      <c r="R425" s="199"/>
      <c r="S425" s="199"/>
    </row>
    <row r="426" spans="1:19" s="1" customFormat="1" ht="12.75">
      <c r="A426" s="395">
        <v>369027</v>
      </c>
      <c r="B426" s="408" t="s">
        <v>15</v>
      </c>
      <c r="C426" s="397"/>
      <c r="D426" s="436"/>
      <c r="E426" s="436"/>
      <c r="F426" s="418"/>
      <c r="G426" s="544">
        <f t="shared" si="55"/>
        <v>0</v>
      </c>
      <c r="H426" s="414"/>
      <c r="I426" s="540"/>
      <c r="J426" s="540"/>
      <c r="K426" s="403"/>
      <c r="L426" s="541">
        <f t="shared" si="53"/>
      </c>
      <c r="M426" s="542"/>
      <c r="N426" s="544">
        <v>0</v>
      </c>
      <c r="O426" s="542"/>
      <c r="P426" s="545">
        <f>BOKFØRT!C426</f>
        <v>0</v>
      </c>
      <c r="Q426" s="583">
        <f t="shared" si="54"/>
        <v>0</v>
      </c>
      <c r="R426" s="199"/>
      <c r="S426" s="199"/>
    </row>
    <row r="427" spans="1:19" s="1" customFormat="1" ht="12.75">
      <c r="A427" s="395">
        <v>369040</v>
      </c>
      <c r="B427" s="408" t="s">
        <v>769</v>
      </c>
      <c r="C427" s="397"/>
      <c r="D427" s="436"/>
      <c r="E427" s="436"/>
      <c r="F427" s="418"/>
      <c r="G427" s="544">
        <f t="shared" si="55"/>
        <v>0</v>
      </c>
      <c r="H427" s="414"/>
      <c r="I427" s="540"/>
      <c r="J427" s="540"/>
      <c r="K427" s="403"/>
      <c r="L427" s="541">
        <f t="shared" si="53"/>
      </c>
      <c r="M427" s="542"/>
      <c r="N427" s="544">
        <v>0</v>
      </c>
      <c r="O427" s="542"/>
      <c r="P427" s="545">
        <f>BOKFØRT!C427</f>
        <v>0</v>
      </c>
      <c r="Q427" s="583">
        <f t="shared" si="54"/>
        <v>0</v>
      </c>
      <c r="R427" s="199"/>
      <c r="S427" s="199"/>
    </row>
    <row r="428" spans="1:19" s="1" customFormat="1" ht="12.75">
      <c r="A428" s="395">
        <v>369050</v>
      </c>
      <c r="B428" s="408" t="s">
        <v>17</v>
      </c>
      <c r="C428" s="397"/>
      <c r="D428" s="436"/>
      <c r="E428" s="436"/>
      <c r="F428" s="418"/>
      <c r="G428" s="544">
        <f t="shared" si="55"/>
        <v>0</v>
      </c>
      <c r="H428" s="414"/>
      <c r="I428" s="540"/>
      <c r="J428" s="540"/>
      <c r="K428" s="403"/>
      <c r="L428" s="541">
        <f t="shared" si="53"/>
      </c>
      <c r="M428" s="542"/>
      <c r="N428" s="544">
        <v>0</v>
      </c>
      <c r="O428" s="542"/>
      <c r="P428" s="545">
        <f>BOKFØRT!C428</f>
        <v>0</v>
      </c>
      <c r="Q428" s="583">
        <f t="shared" si="54"/>
        <v>0</v>
      </c>
      <c r="R428" s="199"/>
      <c r="S428" s="199"/>
    </row>
    <row r="429" spans="1:19" s="1" customFormat="1" ht="12.75">
      <c r="A429" s="395">
        <v>369052</v>
      </c>
      <c r="B429" s="408" t="s">
        <v>85</v>
      </c>
      <c r="C429" s="397"/>
      <c r="D429" s="436"/>
      <c r="E429" s="436"/>
      <c r="F429" s="418"/>
      <c r="G429" s="544">
        <f t="shared" si="55"/>
        <v>0</v>
      </c>
      <c r="H429" s="414"/>
      <c r="I429" s="540"/>
      <c r="J429" s="540"/>
      <c r="K429" s="403"/>
      <c r="L429" s="541">
        <f t="shared" si="53"/>
      </c>
      <c r="M429" s="542"/>
      <c r="N429" s="544">
        <v>0</v>
      </c>
      <c r="O429" s="542"/>
      <c r="P429" s="545">
        <f>BOKFØRT!C429</f>
        <v>0</v>
      </c>
      <c r="Q429" s="583">
        <f t="shared" si="54"/>
        <v>0</v>
      </c>
      <c r="R429" s="199"/>
      <c r="S429" s="199"/>
    </row>
    <row r="430" spans="1:19" s="1" customFormat="1" ht="12.75">
      <c r="A430" s="395">
        <v>369053</v>
      </c>
      <c r="B430" s="408" t="s">
        <v>86</v>
      </c>
      <c r="C430" s="397"/>
      <c r="D430" s="436"/>
      <c r="E430" s="436"/>
      <c r="F430" s="418"/>
      <c r="G430" s="544">
        <f t="shared" si="55"/>
        <v>0</v>
      </c>
      <c r="H430" s="414"/>
      <c r="I430" s="540"/>
      <c r="J430" s="540"/>
      <c r="K430" s="403"/>
      <c r="L430" s="541">
        <f t="shared" si="53"/>
      </c>
      <c r="M430" s="542"/>
      <c r="N430" s="544">
        <v>0</v>
      </c>
      <c r="O430" s="542"/>
      <c r="P430" s="545">
        <f>BOKFØRT!C430</f>
        <v>0</v>
      </c>
      <c r="Q430" s="583">
        <f t="shared" si="54"/>
        <v>0</v>
      </c>
      <c r="R430" s="199"/>
      <c r="S430" s="199"/>
    </row>
    <row r="431" spans="1:19" s="1" customFormat="1" ht="12.75">
      <c r="A431" s="395">
        <v>369054</v>
      </c>
      <c r="B431" s="408" t="s">
        <v>87</v>
      </c>
      <c r="C431" s="397"/>
      <c r="D431" s="436"/>
      <c r="E431" s="436"/>
      <c r="F431" s="418"/>
      <c r="G431" s="544">
        <f t="shared" si="55"/>
        <v>0</v>
      </c>
      <c r="H431" s="414"/>
      <c r="I431" s="540"/>
      <c r="J431" s="540"/>
      <c r="K431" s="403"/>
      <c r="L431" s="541">
        <f t="shared" si="53"/>
      </c>
      <c r="M431" s="542"/>
      <c r="N431" s="544">
        <v>0</v>
      </c>
      <c r="O431" s="542"/>
      <c r="P431" s="545">
        <f>BOKFØRT!C431</f>
        <v>0</v>
      </c>
      <c r="Q431" s="583">
        <f t="shared" si="54"/>
        <v>0</v>
      </c>
      <c r="R431" s="199"/>
      <c r="S431" s="199"/>
    </row>
    <row r="432" spans="1:19" s="1" customFormat="1" ht="12.75">
      <c r="A432" s="395">
        <v>369060</v>
      </c>
      <c r="B432" s="408" t="s">
        <v>562</v>
      </c>
      <c r="C432" s="397"/>
      <c r="D432" s="436"/>
      <c r="E432" s="436"/>
      <c r="F432" s="418"/>
      <c r="G432" s="544">
        <f t="shared" si="55"/>
        <v>0</v>
      </c>
      <c r="H432" s="414"/>
      <c r="I432" s="540"/>
      <c r="J432" s="540"/>
      <c r="K432" s="403"/>
      <c r="L432" s="541">
        <f t="shared" si="53"/>
      </c>
      <c r="M432" s="542"/>
      <c r="N432" s="544">
        <v>0</v>
      </c>
      <c r="O432" s="542"/>
      <c r="P432" s="545">
        <f>BOKFØRT!C432</f>
        <v>0</v>
      </c>
      <c r="Q432" s="583">
        <f t="shared" si="54"/>
        <v>0</v>
      </c>
      <c r="R432" s="199"/>
      <c r="S432" s="199"/>
    </row>
    <row r="433" spans="1:19" s="1" customFormat="1" ht="12.75">
      <c r="A433" s="395">
        <v>369064</v>
      </c>
      <c r="B433" s="408" t="s">
        <v>21</v>
      </c>
      <c r="C433" s="397"/>
      <c r="D433" s="436"/>
      <c r="E433" s="436"/>
      <c r="F433" s="418"/>
      <c r="G433" s="544">
        <f t="shared" si="55"/>
        <v>0</v>
      </c>
      <c r="H433" s="414"/>
      <c r="I433" s="540"/>
      <c r="J433" s="540"/>
      <c r="K433" s="403"/>
      <c r="L433" s="541">
        <f t="shared" si="53"/>
      </c>
      <c r="M433" s="542"/>
      <c r="N433" s="544">
        <v>0</v>
      </c>
      <c r="O433" s="542"/>
      <c r="P433" s="545">
        <f>BOKFØRT!C433</f>
        <v>0</v>
      </c>
      <c r="Q433" s="583">
        <f t="shared" si="54"/>
        <v>0</v>
      </c>
      <c r="R433" s="199"/>
      <c r="S433" s="199"/>
    </row>
    <row r="434" spans="1:19" s="1" customFormat="1" ht="12.75">
      <c r="A434" s="395">
        <v>369069</v>
      </c>
      <c r="B434" s="420" t="s">
        <v>564</v>
      </c>
      <c r="C434" s="421" t="s">
        <v>416</v>
      </c>
      <c r="D434" s="422"/>
      <c r="E434" s="422"/>
      <c r="F434" s="423"/>
      <c r="G434" s="548">
        <f t="shared" si="55"/>
        <v>0</v>
      </c>
      <c r="H434" s="414"/>
      <c r="I434" s="540"/>
      <c r="J434" s="540"/>
      <c r="K434" s="403"/>
      <c r="L434" s="541">
        <f t="shared" si="53"/>
      </c>
      <c r="M434" s="542"/>
      <c r="N434" s="548">
        <v>0</v>
      </c>
      <c r="O434" s="542"/>
      <c r="P434" s="550">
        <f>BOKFØRT!C434</f>
        <v>0</v>
      </c>
      <c r="Q434" s="583">
        <f t="shared" si="54"/>
        <v>0</v>
      </c>
      <c r="R434" s="199"/>
      <c r="S434" s="199"/>
    </row>
    <row r="435" spans="1:19" s="1" customFormat="1" ht="13.5" thickBot="1">
      <c r="A435" s="445" t="s">
        <v>401</v>
      </c>
      <c r="B435" s="426"/>
      <c r="C435" s="451"/>
      <c r="D435" s="433"/>
      <c r="E435" s="434"/>
      <c r="F435" s="448" t="s">
        <v>570</v>
      </c>
      <c r="G435" s="558">
        <f>SUM(G405:G434)</f>
        <v>0</v>
      </c>
      <c r="H435" s="414"/>
      <c r="I435" s="555"/>
      <c r="J435" s="555"/>
      <c r="K435" s="394"/>
      <c r="L435" s="558">
        <f>SUM(L405:L434)</f>
        <v>0</v>
      </c>
      <c r="M435" s="542"/>
      <c r="N435" s="558">
        <v>0</v>
      </c>
      <c r="O435" s="542"/>
      <c r="P435" s="559">
        <f>SUM(P405:P434)</f>
        <v>0</v>
      </c>
      <c r="Q435" s="583">
        <f t="shared" si="54"/>
        <v>0</v>
      </c>
      <c r="R435" s="199"/>
      <c r="S435" s="199"/>
    </row>
    <row r="436" spans="1:19" s="1" customFormat="1" ht="0.75" customHeight="1" thickTop="1">
      <c r="A436" s="431"/>
      <c r="B436" s="432"/>
      <c r="C436" s="427"/>
      <c r="D436" s="433"/>
      <c r="E436" s="434"/>
      <c r="F436" s="448"/>
      <c r="G436" s="540"/>
      <c r="H436" s="414"/>
      <c r="I436" s="540"/>
      <c r="J436" s="540"/>
      <c r="K436" s="394"/>
      <c r="L436" s="555"/>
      <c r="M436" s="542"/>
      <c r="N436" s="540"/>
      <c r="O436" s="542"/>
      <c r="P436" s="561"/>
      <c r="Q436" s="583"/>
      <c r="R436" s="199"/>
      <c r="S436" s="199"/>
    </row>
    <row r="437" spans="1:19" s="1" customFormat="1" ht="24.75" customHeight="1" thickTop="1">
      <c r="A437" s="391" t="s">
        <v>525</v>
      </c>
      <c r="B437" s="435"/>
      <c r="C437" s="427"/>
      <c r="D437" s="511" t="s">
        <v>422</v>
      </c>
      <c r="E437" s="512" t="s">
        <v>423</v>
      </c>
      <c r="F437" s="511" t="s">
        <v>424</v>
      </c>
      <c r="G437" s="533" t="s">
        <v>425</v>
      </c>
      <c r="H437" s="511" t="s">
        <v>426</v>
      </c>
      <c r="I437" s="534" t="s">
        <v>427</v>
      </c>
      <c r="J437" s="534"/>
      <c r="K437" s="394"/>
      <c r="L437" s="533" t="s">
        <v>688</v>
      </c>
      <c r="M437" s="536"/>
      <c r="N437" s="533" t="s">
        <v>425</v>
      </c>
      <c r="O437" s="536"/>
      <c r="P437" s="533" t="s">
        <v>677</v>
      </c>
      <c r="Q437" s="583"/>
      <c r="R437" s="199"/>
      <c r="S437" s="199"/>
    </row>
    <row r="438" spans="1:19" s="1" customFormat="1" ht="12.75">
      <c r="A438" s="395">
        <v>371710</v>
      </c>
      <c r="B438" s="408" t="s">
        <v>142</v>
      </c>
      <c r="C438" s="397"/>
      <c r="D438" s="436"/>
      <c r="E438" s="436"/>
      <c r="F438" s="418"/>
      <c r="G438" s="537">
        <f aca="true" t="shared" si="56" ref="G438:G452">IF(X=0,(IF(Me=0,Sa,Me*Sa)),(IF(Me=0,Sa*X,Me*X*Sa)))</f>
        <v>0</v>
      </c>
      <c r="H438" s="538">
        <f aca="true" t="shared" si="57" ref="H438:H452">IF(Sum,Sos,0)</f>
        <v>0</v>
      </c>
      <c r="I438" s="539">
        <f aca="true" t="shared" si="58" ref="I438:I452">IF(Prosent&lt;&gt;0,(Sum*Prosent)/100,0)</f>
        <v>0</v>
      </c>
      <c r="J438" s="540"/>
      <c r="K438" s="403"/>
      <c r="L438" s="541">
        <f aca="true" t="shared" si="59" ref="L438:L468">IF(FMVAE&lt;&gt;"",(Sum*mva)-Sum,"")</f>
      </c>
      <c r="M438" s="542"/>
      <c r="N438" s="537">
        <v>0</v>
      </c>
      <c r="O438" s="542"/>
      <c r="P438" s="543">
        <f>BOKFØRT!C438</f>
        <v>0</v>
      </c>
      <c r="Q438" s="583">
        <f aca="true" t="shared" si="60" ref="Q438:Q469">G438+N438+P438</f>
        <v>0</v>
      </c>
      <c r="R438" s="199"/>
      <c r="S438" s="199"/>
    </row>
    <row r="439" spans="1:19" s="1" customFormat="1" ht="12.75">
      <c r="A439" s="395">
        <v>371711</v>
      </c>
      <c r="B439" s="408" t="s">
        <v>143</v>
      </c>
      <c r="C439" s="397"/>
      <c r="D439" s="438"/>
      <c r="E439" s="436"/>
      <c r="F439" s="439">
        <f>IF(D439=0,0,+G438)</f>
        <v>0</v>
      </c>
      <c r="G439" s="544">
        <f t="shared" si="56"/>
        <v>0</v>
      </c>
      <c r="H439" s="538">
        <f t="shared" si="57"/>
        <v>0</v>
      </c>
      <c r="I439" s="539">
        <f t="shared" si="58"/>
        <v>0</v>
      </c>
      <c r="J439" s="540"/>
      <c r="K439" s="403"/>
      <c r="L439" s="541">
        <f t="shared" si="59"/>
      </c>
      <c r="M439" s="542"/>
      <c r="N439" s="544">
        <v>0</v>
      </c>
      <c r="O439" s="542"/>
      <c r="P439" s="545">
        <f>BOKFØRT!C439</f>
        <v>0</v>
      </c>
      <c r="Q439" s="583">
        <f t="shared" si="60"/>
        <v>0</v>
      </c>
      <c r="R439" s="199"/>
      <c r="S439" s="199"/>
    </row>
    <row r="440" spans="1:19" s="1" customFormat="1" ht="12.75">
      <c r="A440" s="395">
        <v>371712</v>
      </c>
      <c r="B440" s="408" t="s">
        <v>741</v>
      </c>
      <c r="C440" s="397"/>
      <c r="D440" s="436"/>
      <c r="E440" s="436"/>
      <c r="F440" s="418"/>
      <c r="G440" s="544">
        <f t="shared" si="56"/>
        <v>0</v>
      </c>
      <c r="H440" s="538">
        <f t="shared" si="57"/>
        <v>0</v>
      </c>
      <c r="I440" s="539">
        <f t="shared" si="58"/>
        <v>0</v>
      </c>
      <c r="J440" s="540"/>
      <c r="K440" s="403"/>
      <c r="L440" s="541">
        <f t="shared" si="59"/>
      </c>
      <c r="M440" s="542"/>
      <c r="N440" s="544">
        <v>0</v>
      </c>
      <c r="O440" s="542"/>
      <c r="P440" s="545">
        <f>BOKFØRT!C440</f>
        <v>0</v>
      </c>
      <c r="Q440" s="583">
        <f t="shared" si="60"/>
        <v>0</v>
      </c>
      <c r="R440" s="199"/>
      <c r="S440" s="199"/>
    </row>
    <row r="441" spans="1:19" s="1" customFormat="1" ht="12.75">
      <c r="A441" s="395">
        <v>371713</v>
      </c>
      <c r="B441" s="437" t="s">
        <v>742</v>
      </c>
      <c r="C441" s="397"/>
      <c r="D441" s="438"/>
      <c r="E441" s="436"/>
      <c r="F441" s="439">
        <f>IF(D441=0,0,+G440)</f>
        <v>0</v>
      </c>
      <c r="G441" s="544">
        <f t="shared" si="56"/>
        <v>0</v>
      </c>
      <c r="H441" s="538">
        <f t="shared" si="57"/>
        <v>0</v>
      </c>
      <c r="I441" s="539">
        <f t="shared" si="58"/>
        <v>0</v>
      </c>
      <c r="J441" s="540"/>
      <c r="K441" s="403"/>
      <c r="L441" s="541">
        <f t="shared" si="59"/>
      </c>
      <c r="M441" s="542"/>
      <c r="N441" s="544">
        <v>0</v>
      </c>
      <c r="O441" s="542"/>
      <c r="P441" s="545">
        <f>BOKFØRT!C441</f>
        <v>0</v>
      </c>
      <c r="Q441" s="583">
        <f t="shared" si="60"/>
        <v>0</v>
      </c>
      <c r="R441" s="199"/>
      <c r="S441" s="199"/>
    </row>
    <row r="442" spans="1:19" s="1" customFormat="1" ht="12.75">
      <c r="A442" s="395">
        <v>371714</v>
      </c>
      <c r="B442" s="408" t="s">
        <v>144</v>
      </c>
      <c r="C442" s="397"/>
      <c r="D442" s="436"/>
      <c r="E442" s="436"/>
      <c r="F442" s="418"/>
      <c r="G442" s="544">
        <f t="shared" si="56"/>
        <v>0</v>
      </c>
      <c r="H442" s="538">
        <f t="shared" si="57"/>
        <v>0</v>
      </c>
      <c r="I442" s="539">
        <f t="shared" si="58"/>
        <v>0</v>
      </c>
      <c r="J442" s="540"/>
      <c r="K442" s="403"/>
      <c r="L442" s="541">
        <f t="shared" si="59"/>
      </c>
      <c r="M442" s="542"/>
      <c r="N442" s="544">
        <v>0</v>
      </c>
      <c r="O442" s="542"/>
      <c r="P442" s="545">
        <f>BOKFØRT!C442</f>
        <v>0</v>
      </c>
      <c r="Q442" s="583">
        <f t="shared" si="60"/>
        <v>0</v>
      </c>
      <c r="R442" s="199"/>
      <c r="S442" s="199"/>
    </row>
    <row r="443" spans="1:19" s="1" customFormat="1" ht="12.75">
      <c r="A443" s="395">
        <v>371715</v>
      </c>
      <c r="B443" s="437" t="s">
        <v>145</v>
      </c>
      <c r="C443" s="397"/>
      <c r="D443" s="438"/>
      <c r="E443" s="436"/>
      <c r="F443" s="439">
        <f>IF(D443=0,0,+G442)</f>
        <v>0</v>
      </c>
      <c r="G443" s="544">
        <f t="shared" si="56"/>
        <v>0</v>
      </c>
      <c r="H443" s="538">
        <f t="shared" si="57"/>
        <v>0</v>
      </c>
      <c r="I443" s="539">
        <f t="shared" si="58"/>
        <v>0</v>
      </c>
      <c r="J443" s="540"/>
      <c r="K443" s="403"/>
      <c r="L443" s="541">
        <f t="shared" si="59"/>
      </c>
      <c r="M443" s="542"/>
      <c r="N443" s="544">
        <v>0</v>
      </c>
      <c r="O443" s="542"/>
      <c r="P443" s="545">
        <f>BOKFØRT!C443</f>
        <v>0</v>
      </c>
      <c r="Q443" s="583">
        <f t="shared" si="60"/>
        <v>0</v>
      </c>
      <c r="R443" s="199"/>
      <c r="S443" s="199"/>
    </row>
    <row r="444" spans="1:19" s="1" customFormat="1" ht="12.75">
      <c r="A444" s="395">
        <v>371720</v>
      </c>
      <c r="B444" s="408" t="s">
        <v>146</v>
      </c>
      <c r="C444" s="397"/>
      <c r="D444" s="436"/>
      <c r="E444" s="436"/>
      <c r="F444" s="418"/>
      <c r="G444" s="544">
        <f t="shared" si="56"/>
        <v>0</v>
      </c>
      <c r="H444" s="538">
        <f t="shared" si="57"/>
        <v>0</v>
      </c>
      <c r="I444" s="539">
        <f t="shared" si="58"/>
        <v>0</v>
      </c>
      <c r="J444" s="540"/>
      <c r="K444" s="403"/>
      <c r="L444" s="541">
        <f t="shared" si="59"/>
      </c>
      <c r="M444" s="542"/>
      <c r="N444" s="544">
        <v>0</v>
      </c>
      <c r="O444" s="542"/>
      <c r="P444" s="545">
        <f>BOKFØRT!C444</f>
        <v>0</v>
      </c>
      <c r="Q444" s="583">
        <f t="shared" si="60"/>
        <v>0</v>
      </c>
      <c r="R444" s="199"/>
      <c r="S444" s="199"/>
    </row>
    <row r="445" spans="1:19" s="1" customFormat="1" ht="12.75">
      <c r="A445" s="395">
        <v>371721</v>
      </c>
      <c r="B445" s="437" t="s">
        <v>147</v>
      </c>
      <c r="C445" s="397"/>
      <c r="D445" s="438"/>
      <c r="E445" s="436"/>
      <c r="F445" s="439">
        <f>IF(D445=0,0,+G444)</f>
        <v>0</v>
      </c>
      <c r="G445" s="544">
        <f t="shared" si="56"/>
        <v>0</v>
      </c>
      <c r="H445" s="538">
        <f t="shared" si="57"/>
        <v>0</v>
      </c>
      <c r="I445" s="539">
        <f t="shared" si="58"/>
        <v>0</v>
      </c>
      <c r="J445" s="540"/>
      <c r="K445" s="403"/>
      <c r="L445" s="541">
        <f t="shared" si="59"/>
      </c>
      <c r="M445" s="542"/>
      <c r="N445" s="544">
        <v>0</v>
      </c>
      <c r="O445" s="542"/>
      <c r="P445" s="545">
        <f>BOKFØRT!C445</f>
        <v>0</v>
      </c>
      <c r="Q445" s="583">
        <f t="shared" si="60"/>
        <v>0</v>
      </c>
      <c r="R445" s="199"/>
      <c r="S445" s="199"/>
    </row>
    <row r="446" spans="1:19" s="1" customFormat="1" ht="12.75">
      <c r="A446" s="395">
        <v>371730</v>
      </c>
      <c r="B446" s="408" t="s">
        <v>148</v>
      </c>
      <c r="C446" s="397"/>
      <c r="D446" s="436"/>
      <c r="E446" s="436"/>
      <c r="F446" s="418"/>
      <c r="G446" s="544">
        <f t="shared" si="56"/>
        <v>0</v>
      </c>
      <c r="H446" s="538">
        <f t="shared" si="57"/>
        <v>0</v>
      </c>
      <c r="I446" s="539">
        <f t="shared" si="58"/>
        <v>0</v>
      </c>
      <c r="J446" s="540"/>
      <c r="K446" s="403"/>
      <c r="L446" s="541">
        <f t="shared" si="59"/>
      </c>
      <c r="M446" s="542"/>
      <c r="N446" s="544">
        <v>0</v>
      </c>
      <c r="O446" s="542"/>
      <c r="P446" s="545">
        <f>BOKFØRT!C446</f>
        <v>0</v>
      </c>
      <c r="Q446" s="583">
        <f t="shared" si="60"/>
        <v>0</v>
      </c>
      <c r="R446" s="199"/>
      <c r="S446" s="199"/>
    </row>
    <row r="447" spans="1:19" s="1" customFormat="1" ht="12.75">
      <c r="A447" s="395">
        <v>371731</v>
      </c>
      <c r="B447" s="437" t="s">
        <v>149</v>
      </c>
      <c r="C447" s="397"/>
      <c r="D447" s="438"/>
      <c r="E447" s="436"/>
      <c r="F447" s="439">
        <f>IF(D447=0,0,+G446)</f>
        <v>0</v>
      </c>
      <c r="G447" s="544">
        <f t="shared" si="56"/>
        <v>0</v>
      </c>
      <c r="H447" s="538">
        <f t="shared" si="57"/>
        <v>0</v>
      </c>
      <c r="I447" s="539">
        <f t="shared" si="58"/>
        <v>0</v>
      </c>
      <c r="J447" s="540"/>
      <c r="K447" s="403"/>
      <c r="L447" s="541">
        <f t="shared" si="59"/>
      </c>
      <c r="M447" s="542"/>
      <c r="N447" s="544">
        <v>0</v>
      </c>
      <c r="O447" s="542"/>
      <c r="P447" s="545">
        <f>BOKFØRT!C447</f>
        <v>0</v>
      </c>
      <c r="Q447" s="583">
        <f t="shared" si="60"/>
        <v>0</v>
      </c>
      <c r="R447" s="199"/>
      <c r="S447" s="199"/>
    </row>
    <row r="448" spans="1:19" s="1" customFormat="1" ht="12.75">
      <c r="A448" s="395">
        <v>371740</v>
      </c>
      <c r="B448" s="408" t="s">
        <v>150</v>
      </c>
      <c r="C448" s="397"/>
      <c r="D448" s="436"/>
      <c r="E448" s="436"/>
      <c r="F448" s="418"/>
      <c r="G448" s="544">
        <f t="shared" si="56"/>
        <v>0</v>
      </c>
      <c r="H448" s="538">
        <f t="shared" si="57"/>
        <v>0</v>
      </c>
      <c r="I448" s="539">
        <f t="shared" si="58"/>
        <v>0</v>
      </c>
      <c r="J448" s="540"/>
      <c r="K448" s="403"/>
      <c r="L448" s="541">
        <f t="shared" si="59"/>
      </c>
      <c r="M448" s="542"/>
      <c r="N448" s="544">
        <v>0</v>
      </c>
      <c r="O448" s="542"/>
      <c r="P448" s="545">
        <f>BOKFØRT!C448</f>
        <v>0</v>
      </c>
      <c r="Q448" s="583">
        <f t="shared" si="60"/>
        <v>0</v>
      </c>
      <c r="R448" s="199"/>
      <c r="S448" s="199"/>
    </row>
    <row r="449" spans="1:19" s="1" customFormat="1" ht="12.75">
      <c r="A449" s="395">
        <v>371741</v>
      </c>
      <c r="B449" s="437" t="s">
        <v>151</v>
      </c>
      <c r="C449" s="397"/>
      <c r="D449" s="438"/>
      <c r="E449" s="436"/>
      <c r="F449" s="439">
        <f>IF(D449=0,0,+G448)</f>
        <v>0</v>
      </c>
      <c r="G449" s="544">
        <f t="shared" si="56"/>
        <v>0</v>
      </c>
      <c r="H449" s="538">
        <f t="shared" si="57"/>
        <v>0</v>
      </c>
      <c r="I449" s="539">
        <f t="shared" si="58"/>
        <v>0</v>
      </c>
      <c r="J449" s="540"/>
      <c r="K449" s="403"/>
      <c r="L449" s="541">
        <f t="shared" si="59"/>
      </c>
      <c r="M449" s="542"/>
      <c r="N449" s="544">
        <v>0</v>
      </c>
      <c r="O449" s="542"/>
      <c r="P449" s="545">
        <f>BOKFØRT!C449</f>
        <v>0</v>
      </c>
      <c r="Q449" s="583">
        <f t="shared" si="60"/>
        <v>0</v>
      </c>
      <c r="R449" s="199"/>
      <c r="S449" s="199"/>
    </row>
    <row r="450" spans="1:19" s="1" customFormat="1" ht="12.75">
      <c r="A450" s="395">
        <v>371790</v>
      </c>
      <c r="B450" s="408" t="s">
        <v>152</v>
      </c>
      <c r="C450" s="397"/>
      <c r="D450" s="436"/>
      <c r="E450" s="436"/>
      <c r="F450" s="418"/>
      <c r="G450" s="544">
        <f t="shared" si="56"/>
        <v>0</v>
      </c>
      <c r="H450" s="538">
        <f t="shared" si="57"/>
        <v>0</v>
      </c>
      <c r="I450" s="539">
        <f t="shared" si="58"/>
        <v>0</v>
      </c>
      <c r="J450" s="540"/>
      <c r="K450" s="403"/>
      <c r="L450" s="541">
        <f t="shared" si="59"/>
      </c>
      <c r="M450" s="542"/>
      <c r="N450" s="544">
        <v>0</v>
      </c>
      <c r="O450" s="542"/>
      <c r="P450" s="545">
        <f>BOKFØRT!C450</f>
        <v>0</v>
      </c>
      <c r="Q450" s="583">
        <f t="shared" si="60"/>
        <v>0</v>
      </c>
      <c r="R450" s="199"/>
      <c r="S450" s="199"/>
    </row>
    <row r="451" spans="1:19" s="1" customFormat="1" ht="12.75">
      <c r="A451" s="395">
        <v>371791</v>
      </c>
      <c r="B451" s="408" t="s">
        <v>153</v>
      </c>
      <c r="C451" s="397"/>
      <c r="D451" s="453"/>
      <c r="E451" s="436"/>
      <c r="F451" s="439">
        <f>IF(D451=0,0,+G450)</f>
        <v>0</v>
      </c>
      <c r="G451" s="544">
        <f t="shared" si="56"/>
        <v>0</v>
      </c>
      <c r="H451" s="538">
        <f t="shared" si="57"/>
        <v>0</v>
      </c>
      <c r="I451" s="539">
        <f t="shared" si="58"/>
        <v>0</v>
      </c>
      <c r="J451" s="540"/>
      <c r="K451" s="403"/>
      <c r="L451" s="541">
        <f t="shared" si="59"/>
      </c>
      <c r="M451" s="542"/>
      <c r="N451" s="544">
        <v>0</v>
      </c>
      <c r="O451" s="542"/>
      <c r="P451" s="545">
        <f>BOKFØRT!C451</f>
        <v>0</v>
      </c>
      <c r="Q451" s="583">
        <f t="shared" si="60"/>
        <v>0</v>
      </c>
      <c r="R451" s="199"/>
      <c r="S451" s="199"/>
    </row>
    <row r="452" spans="1:19" s="1" customFormat="1" ht="12.75">
      <c r="A452" s="395">
        <v>374092</v>
      </c>
      <c r="B452" s="408" t="s">
        <v>590</v>
      </c>
      <c r="C452" s="397"/>
      <c r="D452" s="436"/>
      <c r="E452" s="436"/>
      <c r="F452" s="418"/>
      <c r="G452" s="544">
        <f t="shared" si="56"/>
        <v>0</v>
      </c>
      <c r="H452" s="538">
        <f t="shared" si="57"/>
        <v>0</v>
      </c>
      <c r="I452" s="539">
        <f t="shared" si="58"/>
        <v>0</v>
      </c>
      <c r="J452" s="540"/>
      <c r="K452" s="403"/>
      <c r="L452" s="541">
        <f t="shared" si="59"/>
      </c>
      <c r="M452" s="542"/>
      <c r="N452" s="544">
        <v>0</v>
      </c>
      <c r="O452" s="542"/>
      <c r="P452" s="545">
        <f>BOKFØRT!C452</f>
        <v>0</v>
      </c>
      <c r="Q452" s="583">
        <f t="shared" si="60"/>
        <v>0</v>
      </c>
      <c r="R452" s="199"/>
      <c r="S452" s="199"/>
    </row>
    <row r="453" spans="1:19" s="1" customFormat="1" ht="12.75">
      <c r="A453" s="395">
        <v>374095</v>
      </c>
      <c r="B453" s="437" t="s">
        <v>554</v>
      </c>
      <c r="C453" s="397"/>
      <c r="D453" s="440"/>
      <c r="E453" s="440"/>
      <c r="F453" s="449"/>
      <c r="G453" s="562">
        <f>SUM(I438:I452)</f>
        <v>0</v>
      </c>
      <c r="H453" s="414"/>
      <c r="I453" s="546" t="s">
        <v>555</v>
      </c>
      <c r="J453" s="546"/>
      <c r="K453" s="573"/>
      <c r="L453" s="541"/>
      <c r="M453" s="542"/>
      <c r="N453" s="562">
        <v>0</v>
      </c>
      <c r="O453" s="542"/>
      <c r="P453" s="545">
        <f>BOKFØRT!C453</f>
        <v>0</v>
      </c>
      <c r="Q453" s="583">
        <f t="shared" si="60"/>
        <v>0</v>
      </c>
      <c r="R453" s="199"/>
      <c r="S453" s="199"/>
    </row>
    <row r="454" spans="1:19" s="1" customFormat="1" ht="12.75">
      <c r="A454" s="395">
        <v>376720</v>
      </c>
      <c r="B454" s="408" t="s">
        <v>154</v>
      </c>
      <c r="C454" s="397"/>
      <c r="D454" s="436"/>
      <c r="E454" s="436"/>
      <c r="F454" s="418"/>
      <c r="G454" s="544">
        <f aca="true" t="shared" si="61" ref="G454:G468">IF(X=0,(IF(Me=0,Sa,Me*Sa)),(IF(Me=0,Sa*X,Me*X*Sa)))</f>
        <v>0</v>
      </c>
      <c r="H454" s="414"/>
      <c r="I454" s="540"/>
      <c r="J454" s="540"/>
      <c r="K454" s="403"/>
      <c r="L454" s="541">
        <f t="shared" si="59"/>
      </c>
      <c r="M454" s="542"/>
      <c r="N454" s="544">
        <v>0</v>
      </c>
      <c r="O454" s="542"/>
      <c r="P454" s="545">
        <f>BOKFØRT!C454</f>
        <v>0</v>
      </c>
      <c r="Q454" s="583">
        <f t="shared" si="60"/>
        <v>0</v>
      </c>
      <c r="R454" s="199"/>
      <c r="S454" s="199"/>
    </row>
    <row r="455" spans="1:19" s="1" customFormat="1" ht="12.75">
      <c r="A455" s="395">
        <v>376730</v>
      </c>
      <c r="B455" s="408" t="s">
        <v>155</v>
      </c>
      <c r="C455" s="397"/>
      <c r="D455" s="436"/>
      <c r="E455" s="436"/>
      <c r="F455" s="418"/>
      <c r="G455" s="544">
        <f t="shared" si="61"/>
        <v>0</v>
      </c>
      <c r="H455" s="414"/>
      <c r="I455" s="540"/>
      <c r="J455" s="540"/>
      <c r="K455" s="403"/>
      <c r="L455" s="541">
        <f t="shared" si="59"/>
      </c>
      <c r="M455" s="542"/>
      <c r="N455" s="544">
        <v>0</v>
      </c>
      <c r="O455" s="542"/>
      <c r="P455" s="545">
        <f>BOKFØRT!C455</f>
        <v>0</v>
      </c>
      <c r="Q455" s="583">
        <f t="shared" si="60"/>
        <v>0</v>
      </c>
      <c r="R455" s="199"/>
      <c r="S455" s="199"/>
    </row>
    <row r="456" spans="1:19" s="1" customFormat="1" ht="12.75">
      <c r="A456" s="395">
        <v>376740</v>
      </c>
      <c r="B456" s="408" t="s">
        <v>156</v>
      </c>
      <c r="C456" s="397"/>
      <c r="D456" s="436"/>
      <c r="E456" s="436"/>
      <c r="F456" s="418"/>
      <c r="G456" s="544">
        <f t="shared" si="61"/>
        <v>0</v>
      </c>
      <c r="H456" s="414"/>
      <c r="I456" s="540"/>
      <c r="J456" s="540"/>
      <c r="K456" s="403"/>
      <c r="L456" s="541">
        <f t="shared" si="59"/>
      </c>
      <c r="M456" s="542"/>
      <c r="N456" s="544">
        <v>0</v>
      </c>
      <c r="O456" s="542"/>
      <c r="P456" s="545">
        <f>BOKFØRT!C456</f>
        <v>0</v>
      </c>
      <c r="Q456" s="583">
        <f t="shared" si="60"/>
        <v>0</v>
      </c>
      <c r="R456" s="199"/>
      <c r="S456" s="199"/>
    </row>
    <row r="457" spans="1:19" s="1" customFormat="1" ht="12.75">
      <c r="A457" s="395">
        <v>376770</v>
      </c>
      <c r="B457" s="408" t="s">
        <v>157</v>
      </c>
      <c r="C457" s="397"/>
      <c r="D457" s="436"/>
      <c r="E457" s="436"/>
      <c r="F457" s="418"/>
      <c r="G457" s="544">
        <f t="shared" si="61"/>
        <v>0</v>
      </c>
      <c r="H457" s="414"/>
      <c r="I457" s="540"/>
      <c r="J457" s="540"/>
      <c r="K457" s="403"/>
      <c r="L457" s="541">
        <f t="shared" si="59"/>
      </c>
      <c r="M457" s="542"/>
      <c r="N457" s="544">
        <v>0</v>
      </c>
      <c r="O457" s="542"/>
      <c r="P457" s="545">
        <f>BOKFØRT!C457</f>
        <v>0</v>
      </c>
      <c r="Q457" s="583">
        <f t="shared" si="60"/>
        <v>0</v>
      </c>
      <c r="R457" s="199"/>
      <c r="S457" s="199"/>
    </row>
    <row r="458" spans="1:19" s="1" customFormat="1" ht="12.75">
      <c r="A458" s="395">
        <v>376771</v>
      </c>
      <c r="B458" s="408" t="s">
        <v>158</v>
      </c>
      <c r="C458" s="397"/>
      <c r="D458" s="436"/>
      <c r="E458" s="436"/>
      <c r="F458" s="418"/>
      <c r="G458" s="544">
        <f t="shared" si="61"/>
        <v>0</v>
      </c>
      <c r="H458" s="414"/>
      <c r="I458" s="540"/>
      <c r="J458" s="540"/>
      <c r="K458" s="403"/>
      <c r="L458" s="541">
        <f t="shared" si="59"/>
      </c>
      <c r="M458" s="542"/>
      <c r="N458" s="544">
        <v>0</v>
      </c>
      <c r="O458" s="542"/>
      <c r="P458" s="545">
        <f>BOKFØRT!C458</f>
        <v>0</v>
      </c>
      <c r="Q458" s="583">
        <f t="shared" si="60"/>
        <v>0</v>
      </c>
      <c r="R458" s="199"/>
      <c r="S458" s="199"/>
    </row>
    <row r="459" spans="1:19" s="1" customFormat="1" ht="12.75">
      <c r="A459" s="395">
        <v>379011</v>
      </c>
      <c r="B459" s="408" t="s">
        <v>11</v>
      </c>
      <c r="C459" s="397"/>
      <c r="D459" s="436"/>
      <c r="E459" s="436"/>
      <c r="F459" s="418"/>
      <c r="G459" s="544">
        <f t="shared" si="61"/>
        <v>0</v>
      </c>
      <c r="H459" s="414"/>
      <c r="I459" s="540"/>
      <c r="J459" s="540"/>
      <c r="K459" s="403"/>
      <c r="L459" s="541">
        <f t="shared" si="59"/>
      </c>
      <c r="M459" s="542"/>
      <c r="N459" s="544">
        <v>0</v>
      </c>
      <c r="O459" s="542"/>
      <c r="P459" s="545">
        <f>BOKFØRT!C459</f>
        <v>0</v>
      </c>
      <c r="Q459" s="583">
        <f t="shared" si="60"/>
        <v>0</v>
      </c>
      <c r="R459" s="199"/>
      <c r="S459" s="199"/>
    </row>
    <row r="460" spans="1:19" s="1" customFormat="1" ht="12.75">
      <c r="A460" s="395">
        <v>379027</v>
      </c>
      <c r="B460" s="408" t="s">
        <v>15</v>
      </c>
      <c r="C460" s="397"/>
      <c r="D460" s="436"/>
      <c r="E460" s="436"/>
      <c r="F460" s="418"/>
      <c r="G460" s="544">
        <f t="shared" si="61"/>
        <v>0</v>
      </c>
      <c r="H460" s="414"/>
      <c r="I460" s="540"/>
      <c r="J460" s="540"/>
      <c r="K460" s="403"/>
      <c r="L460" s="541">
        <f t="shared" si="59"/>
      </c>
      <c r="M460" s="542"/>
      <c r="N460" s="544">
        <v>0</v>
      </c>
      <c r="O460" s="542"/>
      <c r="P460" s="545">
        <f>BOKFØRT!C460</f>
        <v>0</v>
      </c>
      <c r="Q460" s="583">
        <f t="shared" si="60"/>
        <v>0</v>
      </c>
      <c r="R460" s="199"/>
      <c r="S460" s="199"/>
    </row>
    <row r="461" spans="1:19" s="1" customFormat="1" ht="12.75">
      <c r="A461" s="395">
        <v>379040</v>
      </c>
      <c r="B461" s="408" t="s">
        <v>769</v>
      </c>
      <c r="C461" s="397"/>
      <c r="D461" s="436"/>
      <c r="E461" s="436"/>
      <c r="F461" s="418"/>
      <c r="G461" s="544">
        <f t="shared" si="61"/>
        <v>0</v>
      </c>
      <c r="H461" s="414"/>
      <c r="I461" s="540"/>
      <c r="J461" s="540"/>
      <c r="K461" s="403"/>
      <c r="L461" s="541">
        <f t="shared" si="59"/>
      </c>
      <c r="M461" s="542"/>
      <c r="N461" s="544">
        <v>0</v>
      </c>
      <c r="O461" s="542"/>
      <c r="P461" s="545">
        <f>BOKFØRT!C461</f>
        <v>0</v>
      </c>
      <c r="Q461" s="583">
        <f t="shared" si="60"/>
        <v>0</v>
      </c>
      <c r="R461" s="199"/>
      <c r="S461" s="199"/>
    </row>
    <row r="462" spans="1:19" s="1" customFormat="1" ht="12.75">
      <c r="A462" s="395">
        <v>379050</v>
      </c>
      <c r="B462" s="408" t="s">
        <v>17</v>
      </c>
      <c r="C462" s="397"/>
      <c r="D462" s="436"/>
      <c r="E462" s="436"/>
      <c r="F462" s="418"/>
      <c r="G462" s="544">
        <f t="shared" si="61"/>
        <v>0</v>
      </c>
      <c r="H462" s="414"/>
      <c r="I462" s="540"/>
      <c r="J462" s="540"/>
      <c r="K462" s="403"/>
      <c r="L462" s="541">
        <f t="shared" si="59"/>
      </c>
      <c r="M462" s="542"/>
      <c r="N462" s="544">
        <v>0</v>
      </c>
      <c r="O462" s="542"/>
      <c r="P462" s="545">
        <f>BOKFØRT!C462</f>
        <v>0</v>
      </c>
      <c r="Q462" s="583">
        <f t="shared" si="60"/>
        <v>0</v>
      </c>
      <c r="R462" s="199"/>
      <c r="S462" s="199"/>
    </row>
    <row r="463" spans="1:19" s="1" customFormat="1" ht="12.75">
      <c r="A463" s="395">
        <v>379052</v>
      </c>
      <c r="B463" s="408" t="s">
        <v>85</v>
      </c>
      <c r="C463" s="397"/>
      <c r="D463" s="436"/>
      <c r="E463" s="436"/>
      <c r="F463" s="418"/>
      <c r="G463" s="544">
        <f t="shared" si="61"/>
        <v>0</v>
      </c>
      <c r="H463" s="414"/>
      <c r="I463" s="540"/>
      <c r="J463" s="540"/>
      <c r="K463" s="403"/>
      <c r="L463" s="541">
        <f t="shared" si="59"/>
      </c>
      <c r="M463" s="542"/>
      <c r="N463" s="544">
        <v>0</v>
      </c>
      <c r="O463" s="542"/>
      <c r="P463" s="545">
        <f>BOKFØRT!C463</f>
        <v>0</v>
      </c>
      <c r="Q463" s="583">
        <f t="shared" si="60"/>
        <v>0</v>
      </c>
      <c r="R463" s="199"/>
      <c r="S463" s="199"/>
    </row>
    <row r="464" spans="1:19" s="1" customFormat="1" ht="12.75">
      <c r="A464" s="395">
        <v>379053</v>
      </c>
      <c r="B464" s="408" t="s">
        <v>86</v>
      </c>
      <c r="C464" s="397"/>
      <c r="D464" s="436"/>
      <c r="E464" s="436"/>
      <c r="F464" s="418"/>
      <c r="G464" s="544">
        <f t="shared" si="61"/>
        <v>0</v>
      </c>
      <c r="H464" s="414"/>
      <c r="I464" s="540"/>
      <c r="J464" s="540"/>
      <c r="K464" s="403"/>
      <c r="L464" s="541">
        <f t="shared" si="59"/>
      </c>
      <c r="M464" s="542"/>
      <c r="N464" s="544">
        <v>0</v>
      </c>
      <c r="O464" s="542"/>
      <c r="P464" s="545">
        <f>BOKFØRT!C464</f>
        <v>0</v>
      </c>
      <c r="Q464" s="583">
        <f t="shared" si="60"/>
        <v>0</v>
      </c>
      <c r="R464" s="199"/>
      <c r="S464" s="199"/>
    </row>
    <row r="465" spans="1:19" s="1" customFormat="1" ht="12.75">
      <c r="A465" s="395">
        <v>379054</v>
      </c>
      <c r="B465" s="408" t="s">
        <v>87</v>
      </c>
      <c r="C465" s="397"/>
      <c r="D465" s="436"/>
      <c r="E465" s="436"/>
      <c r="F465" s="418"/>
      <c r="G465" s="544">
        <f t="shared" si="61"/>
        <v>0</v>
      </c>
      <c r="H465" s="414"/>
      <c r="I465" s="540"/>
      <c r="J465" s="540"/>
      <c r="K465" s="403"/>
      <c r="L465" s="541">
        <f t="shared" si="59"/>
      </c>
      <c r="M465" s="542"/>
      <c r="N465" s="544">
        <v>0</v>
      </c>
      <c r="O465" s="542"/>
      <c r="P465" s="545">
        <f>BOKFØRT!C465</f>
        <v>0</v>
      </c>
      <c r="Q465" s="583">
        <f t="shared" si="60"/>
        <v>0</v>
      </c>
      <c r="R465" s="199"/>
      <c r="S465" s="199"/>
    </row>
    <row r="466" spans="1:19" s="1" customFormat="1" ht="12.75">
      <c r="A466" s="395">
        <v>379060</v>
      </c>
      <c r="B466" s="408" t="s">
        <v>562</v>
      </c>
      <c r="C466" s="397"/>
      <c r="D466" s="436"/>
      <c r="E466" s="436"/>
      <c r="F466" s="418"/>
      <c r="G466" s="544">
        <f t="shared" si="61"/>
        <v>0</v>
      </c>
      <c r="H466" s="414"/>
      <c r="I466" s="540"/>
      <c r="J466" s="540"/>
      <c r="K466" s="403"/>
      <c r="L466" s="541">
        <f t="shared" si="59"/>
      </c>
      <c r="M466" s="542"/>
      <c r="N466" s="544">
        <v>0</v>
      </c>
      <c r="O466" s="542"/>
      <c r="P466" s="545">
        <f>BOKFØRT!C466</f>
        <v>0</v>
      </c>
      <c r="Q466" s="583">
        <f t="shared" si="60"/>
        <v>0</v>
      </c>
      <c r="R466" s="199"/>
      <c r="S466" s="199"/>
    </row>
    <row r="467" spans="1:19" s="1" customFormat="1" ht="12.75">
      <c r="A467" s="395">
        <v>379064</v>
      </c>
      <c r="B467" s="408" t="s">
        <v>21</v>
      </c>
      <c r="C467" s="397"/>
      <c r="D467" s="436"/>
      <c r="E467" s="436"/>
      <c r="F467" s="418"/>
      <c r="G467" s="544">
        <f t="shared" si="61"/>
        <v>0</v>
      </c>
      <c r="H467" s="414"/>
      <c r="I467" s="540"/>
      <c r="J467" s="540"/>
      <c r="K467" s="403"/>
      <c r="L467" s="541">
        <f t="shared" si="59"/>
      </c>
      <c r="M467" s="542"/>
      <c r="N467" s="544">
        <v>0</v>
      </c>
      <c r="O467" s="542"/>
      <c r="P467" s="545">
        <f>BOKFØRT!C467</f>
        <v>0</v>
      </c>
      <c r="Q467" s="583">
        <f t="shared" si="60"/>
        <v>0</v>
      </c>
      <c r="R467" s="199"/>
      <c r="S467" s="199"/>
    </row>
    <row r="468" spans="1:19" s="1" customFormat="1" ht="12.75">
      <c r="A468" s="395">
        <v>379069</v>
      </c>
      <c r="B468" s="420" t="s">
        <v>564</v>
      </c>
      <c r="C468" s="421" t="s">
        <v>416</v>
      </c>
      <c r="D468" s="422"/>
      <c r="E468" s="422"/>
      <c r="F468" s="423"/>
      <c r="G468" s="548">
        <f t="shared" si="61"/>
        <v>0</v>
      </c>
      <c r="H468" s="414"/>
      <c r="I468" s="540"/>
      <c r="J468" s="540"/>
      <c r="K468" s="403"/>
      <c r="L468" s="541">
        <f t="shared" si="59"/>
      </c>
      <c r="M468" s="542"/>
      <c r="N468" s="548">
        <v>0</v>
      </c>
      <c r="O468" s="542"/>
      <c r="P468" s="550">
        <f>BOKFØRT!C468</f>
        <v>0</v>
      </c>
      <c r="Q468" s="583">
        <f t="shared" si="60"/>
        <v>0</v>
      </c>
      <c r="R468" s="199"/>
      <c r="S468" s="199"/>
    </row>
    <row r="469" spans="1:19" s="1" customFormat="1" ht="13.5" thickBot="1">
      <c r="A469" s="445" t="s">
        <v>401</v>
      </c>
      <c r="B469" s="426"/>
      <c r="C469" s="451"/>
      <c r="D469" s="433"/>
      <c r="E469" s="434"/>
      <c r="F469" s="448" t="s">
        <v>570</v>
      </c>
      <c r="G469" s="558">
        <f>SUM(G438:G468)</f>
        <v>0</v>
      </c>
      <c r="H469" s="414"/>
      <c r="I469" s="555"/>
      <c r="J469" s="555"/>
      <c r="K469" s="394"/>
      <c r="L469" s="558">
        <f>SUM(L438:L468)</f>
        <v>0</v>
      </c>
      <c r="M469" s="542"/>
      <c r="N469" s="558">
        <v>0</v>
      </c>
      <c r="O469" s="542"/>
      <c r="P469" s="559">
        <f>SUM(P438:P468)</f>
        <v>0</v>
      </c>
      <c r="Q469" s="583">
        <f t="shared" si="60"/>
        <v>0</v>
      </c>
      <c r="R469" s="199"/>
      <c r="S469" s="199"/>
    </row>
    <row r="470" spans="1:19" s="1" customFormat="1" ht="0.75" customHeight="1" thickTop="1">
      <c r="A470" s="431"/>
      <c r="B470" s="432"/>
      <c r="C470" s="427"/>
      <c r="D470" s="433"/>
      <c r="E470" s="434"/>
      <c r="F470" s="448"/>
      <c r="G470" s="540"/>
      <c r="H470" s="414"/>
      <c r="I470" s="540"/>
      <c r="J470" s="540"/>
      <c r="K470" s="394"/>
      <c r="L470" s="555"/>
      <c r="M470" s="542"/>
      <c r="N470" s="540"/>
      <c r="O470" s="542"/>
      <c r="P470" s="561"/>
      <c r="Q470" s="583"/>
      <c r="R470" s="199"/>
      <c r="S470" s="199"/>
    </row>
    <row r="471" spans="1:19" s="1" customFormat="1" ht="24.75" customHeight="1" thickTop="1">
      <c r="A471" s="391" t="s">
        <v>526</v>
      </c>
      <c r="B471" s="435"/>
      <c r="C471" s="427"/>
      <c r="D471" s="511" t="s">
        <v>422</v>
      </c>
      <c r="E471" s="512" t="s">
        <v>423</v>
      </c>
      <c r="F471" s="511" t="s">
        <v>424</v>
      </c>
      <c r="G471" s="533" t="s">
        <v>425</v>
      </c>
      <c r="H471" s="511" t="s">
        <v>426</v>
      </c>
      <c r="I471" s="534" t="s">
        <v>427</v>
      </c>
      <c r="J471" s="534"/>
      <c r="K471" s="394"/>
      <c r="L471" s="533" t="s">
        <v>688</v>
      </c>
      <c r="M471" s="536"/>
      <c r="N471" s="533" t="s">
        <v>425</v>
      </c>
      <c r="O471" s="536"/>
      <c r="P471" s="533" t="s">
        <v>677</v>
      </c>
      <c r="Q471" s="583"/>
      <c r="R471" s="199"/>
      <c r="S471" s="199"/>
    </row>
    <row r="472" spans="1:19" s="1" customFormat="1" ht="12.75">
      <c r="A472" s="395">
        <v>381810</v>
      </c>
      <c r="B472" s="408" t="s">
        <v>584</v>
      </c>
      <c r="C472" s="397"/>
      <c r="D472" s="436"/>
      <c r="E472" s="436"/>
      <c r="F472" s="418"/>
      <c r="G472" s="537">
        <f aca="true" t="shared" si="62" ref="G472:G492">IF(X=0,(IF(Me=0,Sa,Me*Sa)),(IF(Me=0,Sa*X,Me*X*Sa)))</f>
        <v>0</v>
      </c>
      <c r="H472" s="538">
        <f aca="true" t="shared" si="63" ref="H472:H492">IF(Sum,Sos,0)</f>
        <v>0</v>
      </c>
      <c r="I472" s="539">
        <f aca="true" t="shared" si="64" ref="I472:I492">IF(Prosent&lt;&gt;0,(Sum*Prosent)/100,0)</f>
        <v>0</v>
      </c>
      <c r="J472" s="540"/>
      <c r="K472" s="403"/>
      <c r="L472" s="541">
        <f aca="true" t="shared" si="65" ref="L472:L510">IF(FMVAE&lt;&gt;"",(Sum*mva)-Sum,"")</f>
      </c>
      <c r="M472" s="542"/>
      <c r="N472" s="537">
        <v>0</v>
      </c>
      <c r="O472" s="542"/>
      <c r="P472" s="543">
        <f>BOKFØRT!C472</f>
        <v>0</v>
      </c>
      <c r="Q472" s="583">
        <f aca="true" t="shared" si="66" ref="Q472:Q511">G472+N472+P472</f>
        <v>0</v>
      </c>
      <c r="R472" s="199"/>
      <c r="S472" s="199"/>
    </row>
    <row r="473" spans="1:19" s="1" customFormat="1" ht="12.75">
      <c r="A473" s="395">
        <v>381811</v>
      </c>
      <c r="B473" s="437" t="s">
        <v>585</v>
      </c>
      <c r="C473" s="397"/>
      <c r="D473" s="438"/>
      <c r="E473" s="436"/>
      <c r="F473" s="439">
        <f>IF(D473=0,0,+G472)</f>
        <v>0</v>
      </c>
      <c r="G473" s="544">
        <f t="shared" si="62"/>
        <v>0</v>
      </c>
      <c r="H473" s="538">
        <f t="shared" si="63"/>
        <v>0</v>
      </c>
      <c r="I473" s="539">
        <f t="shared" si="64"/>
        <v>0</v>
      </c>
      <c r="J473" s="540"/>
      <c r="K473" s="403"/>
      <c r="L473" s="541">
        <f t="shared" si="65"/>
      </c>
      <c r="M473" s="542"/>
      <c r="N473" s="544">
        <v>0</v>
      </c>
      <c r="O473" s="542"/>
      <c r="P473" s="545">
        <f>BOKFØRT!C473</f>
        <v>0</v>
      </c>
      <c r="Q473" s="583">
        <f t="shared" si="66"/>
        <v>0</v>
      </c>
      <c r="R473" s="199"/>
      <c r="S473" s="199"/>
    </row>
    <row r="474" spans="1:19" s="1" customFormat="1" ht="12.75">
      <c r="A474" s="395">
        <v>381812</v>
      </c>
      <c r="B474" s="408" t="s">
        <v>159</v>
      </c>
      <c r="C474" s="397"/>
      <c r="D474" s="436"/>
      <c r="E474" s="436"/>
      <c r="F474" s="418"/>
      <c r="G474" s="544">
        <f t="shared" si="62"/>
        <v>0</v>
      </c>
      <c r="H474" s="538">
        <f t="shared" si="63"/>
        <v>0</v>
      </c>
      <c r="I474" s="539">
        <f t="shared" si="64"/>
        <v>0</v>
      </c>
      <c r="J474" s="540"/>
      <c r="K474" s="403"/>
      <c r="L474" s="541">
        <f t="shared" si="65"/>
      </c>
      <c r="M474" s="542"/>
      <c r="N474" s="544">
        <v>0</v>
      </c>
      <c r="O474" s="542"/>
      <c r="P474" s="545">
        <f>BOKFØRT!C474</f>
        <v>0</v>
      </c>
      <c r="Q474" s="583">
        <f t="shared" si="66"/>
        <v>0</v>
      </c>
      <c r="R474" s="199"/>
      <c r="S474" s="199"/>
    </row>
    <row r="475" spans="1:19" s="1" customFormat="1" ht="12.75">
      <c r="A475" s="395">
        <v>381813</v>
      </c>
      <c r="B475" s="437" t="s">
        <v>160</v>
      </c>
      <c r="C475" s="397"/>
      <c r="D475" s="438"/>
      <c r="E475" s="436"/>
      <c r="F475" s="439">
        <f>IF(D475=0,0,+G474)</f>
        <v>0</v>
      </c>
      <c r="G475" s="544">
        <f t="shared" si="62"/>
        <v>0</v>
      </c>
      <c r="H475" s="538">
        <f t="shared" si="63"/>
        <v>0</v>
      </c>
      <c r="I475" s="539">
        <f t="shared" si="64"/>
        <v>0</v>
      </c>
      <c r="J475" s="540"/>
      <c r="K475" s="403"/>
      <c r="L475" s="541">
        <f t="shared" si="65"/>
      </c>
      <c r="M475" s="542"/>
      <c r="N475" s="544">
        <v>0</v>
      </c>
      <c r="O475" s="542"/>
      <c r="P475" s="545">
        <f>BOKFØRT!C475</f>
        <v>0</v>
      </c>
      <c r="Q475" s="583">
        <f t="shared" si="66"/>
        <v>0</v>
      </c>
      <c r="R475" s="199"/>
      <c r="S475" s="199"/>
    </row>
    <row r="476" spans="1:19" s="1" customFormat="1" ht="12.75">
      <c r="A476" s="395">
        <v>381814</v>
      </c>
      <c r="B476" s="408" t="s">
        <v>161</v>
      </c>
      <c r="C476" s="397"/>
      <c r="D476" s="436"/>
      <c r="E476" s="436"/>
      <c r="F476" s="418"/>
      <c r="G476" s="544">
        <f t="shared" si="62"/>
        <v>0</v>
      </c>
      <c r="H476" s="538">
        <f t="shared" si="63"/>
        <v>0</v>
      </c>
      <c r="I476" s="539">
        <f t="shared" si="64"/>
        <v>0</v>
      </c>
      <c r="J476" s="540"/>
      <c r="K476" s="403"/>
      <c r="L476" s="541">
        <f t="shared" si="65"/>
      </c>
      <c r="M476" s="542"/>
      <c r="N476" s="544">
        <v>0</v>
      </c>
      <c r="O476" s="542"/>
      <c r="P476" s="545">
        <f>BOKFØRT!C476</f>
        <v>0</v>
      </c>
      <c r="Q476" s="583">
        <f t="shared" si="66"/>
        <v>0</v>
      </c>
      <c r="R476" s="199"/>
      <c r="S476" s="199"/>
    </row>
    <row r="477" spans="1:19" s="1" customFormat="1" ht="12.75">
      <c r="A477" s="395">
        <v>381815</v>
      </c>
      <c r="B477" s="437" t="s">
        <v>162</v>
      </c>
      <c r="C477" s="397"/>
      <c r="D477" s="438"/>
      <c r="E477" s="436"/>
      <c r="F477" s="439">
        <f>IF(D477=0,0,+G476)</f>
        <v>0</v>
      </c>
      <c r="G477" s="544">
        <f t="shared" si="62"/>
        <v>0</v>
      </c>
      <c r="H477" s="538">
        <f t="shared" si="63"/>
        <v>0</v>
      </c>
      <c r="I477" s="539">
        <f t="shared" si="64"/>
        <v>0</v>
      </c>
      <c r="J477" s="540"/>
      <c r="K477" s="403"/>
      <c r="L477" s="541">
        <f t="shared" si="65"/>
      </c>
      <c r="M477" s="542"/>
      <c r="N477" s="544">
        <v>0</v>
      </c>
      <c r="O477" s="542"/>
      <c r="P477" s="545">
        <f>BOKFØRT!C477</f>
        <v>0</v>
      </c>
      <c r="Q477" s="583">
        <f t="shared" si="66"/>
        <v>0</v>
      </c>
      <c r="R477" s="199"/>
      <c r="S477" s="199"/>
    </row>
    <row r="478" spans="1:19" s="1" customFormat="1" ht="12.75">
      <c r="A478" s="395">
        <v>381816</v>
      </c>
      <c r="B478" s="408" t="s">
        <v>163</v>
      </c>
      <c r="C478" s="397"/>
      <c r="D478" s="436"/>
      <c r="E478" s="436"/>
      <c r="F478" s="418"/>
      <c r="G478" s="544">
        <f t="shared" si="62"/>
        <v>0</v>
      </c>
      <c r="H478" s="538">
        <f t="shared" si="63"/>
        <v>0</v>
      </c>
      <c r="I478" s="539">
        <f t="shared" si="64"/>
        <v>0</v>
      </c>
      <c r="J478" s="540"/>
      <c r="K478" s="403"/>
      <c r="L478" s="541">
        <f t="shared" si="65"/>
      </c>
      <c r="M478" s="542"/>
      <c r="N478" s="544">
        <v>0</v>
      </c>
      <c r="O478" s="542"/>
      <c r="P478" s="545">
        <f>BOKFØRT!C478</f>
        <v>0</v>
      </c>
      <c r="Q478" s="583">
        <f t="shared" si="66"/>
        <v>0</v>
      </c>
      <c r="R478" s="199"/>
      <c r="S478" s="199"/>
    </row>
    <row r="479" spans="1:19" s="1" customFormat="1" ht="12.75">
      <c r="A479" s="395">
        <v>381817</v>
      </c>
      <c r="B479" s="437" t="s">
        <v>164</v>
      </c>
      <c r="C479" s="397"/>
      <c r="D479" s="438"/>
      <c r="E479" s="436"/>
      <c r="F479" s="439">
        <f>IF(D479=0,0,+G478)</f>
        <v>0</v>
      </c>
      <c r="G479" s="544">
        <f t="shared" si="62"/>
        <v>0</v>
      </c>
      <c r="H479" s="538">
        <f t="shared" si="63"/>
        <v>0</v>
      </c>
      <c r="I479" s="539">
        <f t="shared" si="64"/>
        <v>0</v>
      </c>
      <c r="J479" s="540"/>
      <c r="K479" s="403"/>
      <c r="L479" s="541">
        <f t="shared" si="65"/>
      </c>
      <c r="M479" s="542"/>
      <c r="N479" s="544">
        <v>0</v>
      </c>
      <c r="O479" s="542"/>
      <c r="P479" s="545">
        <f>BOKFØRT!C479</f>
        <v>0</v>
      </c>
      <c r="Q479" s="583">
        <f t="shared" si="66"/>
        <v>0</v>
      </c>
      <c r="R479" s="199"/>
      <c r="S479" s="199"/>
    </row>
    <row r="480" spans="1:19" s="1" customFormat="1" ht="12.75">
      <c r="A480" s="395">
        <v>381820</v>
      </c>
      <c r="B480" s="408" t="s">
        <v>165</v>
      </c>
      <c r="C480" s="397"/>
      <c r="D480" s="436"/>
      <c r="E480" s="436"/>
      <c r="F480" s="418"/>
      <c r="G480" s="544">
        <f t="shared" si="62"/>
        <v>0</v>
      </c>
      <c r="H480" s="538">
        <f t="shared" si="63"/>
        <v>0</v>
      </c>
      <c r="I480" s="539">
        <f t="shared" si="64"/>
        <v>0</v>
      </c>
      <c r="J480" s="540"/>
      <c r="K480" s="403"/>
      <c r="L480" s="541">
        <f t="shared" si="65"/>
      </c>
      <c r="M480" s="542"/>
      <c r="N480" s="544">
        <v>0</v>
      </c>
      <c r="O480" s="542"/>
      <c r="P480" s="545">
        <f>BOKFØRT!C480</f>
        <v>0</v>
      </c>
      <c r="Q480" s="583">
        <f t="shared" si="66"/>
        <v>0</v>
      </c>
      <c r="R480" s="199"/>
      <c r="S480" s="199"/>
    </row>
    <row r="481" spans="1:19" s="1" customFormat="1" ht="12.75">
      <c r="A481" s="395">
        <v>381821</v>
      </c>
      <c r="B481" s="408" t="s">
        <v>166</v>
      </c>
      <c r="C481" s="397"/>
      <c r="D481" s="438"/>
      <c r="E481" s="436"/>
      <c r="F481" s="439">
        <f>IF(D481=0,0,+G480)</f>
        <v>0</v>
      </c>
      <c r="G481" s="544">
        <f t="shared" si="62"/>
        <v>0</v>
      </c>
      <c r="H481" s="538">
        <f t="shared" si="63"/>
        <v>0</v>
      </c>
      <c r="I481" s="539">
        <f t="shared" si="64"/>
        <v>0</v>
      </c>
      <c r="J481" s="540"/>
      <c r="K481" s="403"/>
      <c r="L481" s="541">
        <f t="shared" si="65"/>
      </c>
      <c r="M481" s="542"/>
      <c r="N481" s="544">
        <v>0</v>
      </c>
      <c r="O481" s="542"/>
      <c r="P481" s="545">
        <f>BOKFØRT!C481</f>
        <v>0</v>
      </c>
      <c r="Q481" s="583">
        <f t="shared" si="66"/>
        <v>0</v>
      </c>
      <c r="R481" s="199"/>
      <c r="S481" s="199"/>
    </row>
    <row r="482" spans="1:19" s="1" customFormat="1" ht="12.75">
      <c r="A482" s="395">
        <v>381830</v>
      </c>
      <c r="B482" s="408" t="s">
        <v>167</v>
      </c>
      <c r="C482" s="397"/>
      <c r="D482" s="436"/>
      <c r="E482" s="436"/>
      <c r="F482" s="418"/>
      <c r="G482" s="544">
        <f t="shared" si="62"/>
        <v>0</v>
      </c>
      <c r="H482" s="538">
        <f t="shared" si="63"/>
        <v>0</v>
      </c>
      <c r="I482" s="539">
        <f t="shared" si="64"/>
        <v>0</v>
      </c>
      <c r="J482" s="540"/>
      <c r="K482" s="403"/>
      <c r="L482" s="541">
        <f t="shared" si="65"/>
      </c>
      <c r="M482" s="542"/>
      <c r="N482" s="544">
        <v>0</v>
      </c>
      <c r="O482" s="542"/>
      <c r="P482" s="545">
        <f>BOKFØRT!C482</f>
        <v>0</v>
      </c>
      <c r="Q482" s="583">
        <f t="shared" si="66"/>
        <v>0</v>
      </c>
      <c r="R482" s="199"/>
      <c r="S482" s="199"/>
    </row>
    <row r="483" spans="1:19" s="1" customFormat="1" ht="12.75">
      <c r="A483" s="395">
        <v>381831</v>
      </c>
      <c r="B483" s="408" t="s">
        <v>168</v>
      </c>
      <c r="C483" s="397"/>
      <c r="D483" s="438"/>
      <c r="E483" s="436"/>
      <c r="F483" s="439">
        <f>IF(D483=0,0,+G482)</f>
        <v>0</v>
      </c>
      <c r="G483" s="544">
        <f t="shared" si="62"/>
        <v>0</v>
      </c>
      <c r="H483" s="538">
        <f t="shared" si="63"/>
        <v>0</v>
      </c>
      <c r="I483" s="539">
        <f t="shared" si="64"/>
        <v>0</v>
      </c>
      <c r="J483" s="540"/>
      <c r="K483" s="403"/>
      <c r="L483" s="541">
        <f t="shared" si="65"/>
      </c>
      <c r="M483" s="542"/>
      <c r="N483" s="544">
        <v>0</v>
      </c>
      <c r="O483" s="542"/>
      <c r="P483" s="545">
        <f>BOKFØRT!C483</f>
        <v>0</v>
      </c>
      <c r="Q483" s="583">
        <f t="shared" si="66"/>
        <v>0</v>
      </c>
      <c r="R483" s="199"/>
      <c r="S483" s="199"/>
    </row>
    <row r="484" spans="1:19" s="1" customFormat="1" ht="12.75">
      <c r="A484" s="395">
        <v>381832</v>
      </c>
      <c r="B484" s="408" t="s">
        <v>169</v>
      </c>
      <c r="C484" s="397"/>
      <c r="D484" s="436"/>
      <c r="E484" s="436"/>
      <c r="F484" s="418"/>
      <c r="G484" s="544">
        <f t="shared" si="62"/>
        <v>0</v>
      </c>
      <c r="H484" s="538">
        <f t="shared" si="63"/>
        <v>0</v>
      </c>
      <c r="I484" s="539">
        <f t="shared" si="64"/>
        <v>0</v>
      </c>
      <c r="J484" s="540"/>
      <c r="K484" s="403"/>
      <c r="L484" s="541">
        <f t="shared" si="65"/>
      </c>
      <c r="M484" s="542"/>
      <c r="N484" s="544">
        <v>0</v>
      </c>
      <c r="O484" s="542"/>
      <c r="P484" s="545">
        <f>BOKFØRT!C484</f>
        <v>0</v>
      </c>
      <c r="Q484" s="583">
        <f t="shared" si="66"/>
        <v>0</v>
      </c>
      <c r="R484" s="199"/>
      <c r="S484" s="199"/>
    </row>
    <row r="485" spans="1:19" s="1" customFormat="1" ht="12.75">
      <c r="A485" s="395">
        <v>381833</v>
      </c>
      <c r="B485" s="408" t="s">
        <v>170</v>
      </c>
      <c r="C485" s="397"/>
      <c r="D485" s="438"/>
      <c r="E485" s="436"/>
      <c r="F485" s="439">
        <f>IF(D485=0,0,+G484)</f>
        <v>0</v>
      </c>
      <c r="G485" s="544">
        <f t="shared" si="62"/>
        <v>0</v>
      </c>
      <c r="H485" s="538">
        <f t="shared" si="63"/>
        <v>0</v>
      </c>
      <c r="I485" s="539">
        <f t="shared" si="64"/>
        <v>0</v>
      </c>
      <c r="J485" s="540"/>
      <c r="K485" s="403"/>
      <c r="L485" s="541">
        <f t="shared" si="65"/>
      </c>
      <c r="M485" s="542"/>
      <c r="N485" s="544">
        <v>0</v>
      </c>
      <c r="O485" s="542"/>
      <c r="P485" s="545">
        <f>BOKFØRT!C485</f>
        <v>0</v>
      </c>
      <c r="Q485" s="583">
        <f t="shared" si="66"/>
        <v>0</v>
      </c>
      <c r="R485" s="199"/>
      <c r="S485" s="199"/>
    </row>
    <row r="486" spans="1:19" s="1" customFormat="1" ht="12.75">
      <c r="A486" s="395">
        <v>381834</v>
      </c>
      <c r="B486" s="437" t="s">
        <v>776</v>
      </c>
      <c r="C486" s="397"/>
      <c r="D486" s="436"/>
      <c r="E486" s="436"/>
      <c r="F486" s="449"/>
      <c r="G486" s="544">
        <f t="shared" si="62"/>
        <v>0</v>
      </c>
      <c r="H486" s="538">
        <f t="shared" si="63"/>
        <v>0</v>
      </c>
      <c r="I486" s="539">
        <f t="shared" si="64"/>
        <v>0</v>
      </c>
      <c r="J486" s="540"/>
      <c r="K486" s="403"/>
      <c r="L486" s="541">
        <f t="shared" si="65"/>
      </c>
      <c r="M486" s="542"/>
      <c r="N486" s="544">
        <v>0</v>
      </c>
      <c r="O486" s="542"/>
      <c r="P486" s="545">
        <f>BOKFØRT!C486</f>
        <v>0</v>
      </c>
      <c r="Q486" s="583">
        <f>G486+N486+P486</f>
        <v>0</v>
      </c>
      <c r="R486" s="199"/>
      <c r="S486" s="199"/>
    </row>
    <row r="487" spans="1:19" s="1" customFormat="1" ht="12.75">
      <c r="A487" s="395">
        <v>381835</v>
      </c>
      <c r="B487" s="408" t="s">
        <v>777</v>
      </c>
      <c r="C487" s="397"/>
      <c r="D487" s="438"/>
      <c r="E487" s="436"/>
      <c r="F487" s="439">
        <f>IF(D487=0,0,+G486)</f>
        <v>0</v>
      </c>
      <c r="G487" s="544">
        <f t="shared" si="62"/>
        <v>0</v>
      </c>
      <c r="H487" s="538">
        <f t="shared" si="63"/>
        <v>0</v>
      </c>
      <c r="I487" s="539">
        <f t="shared" si="64"/>
        <v>0</v>
      </c>
      <c r="J487" s="540"/>
      <c r="K487" s="403"/>
      <c r="L487" s="541">
        <f t="shared" si="65"/>
      </c>
      <c r="M487" s="542"/>
      <c r="N487" s="544">
        <v>0</v>
      </c>
      <c r="O487" s="542"/>
      <c r="P487" s="545">
        <f>BOKFØRT!C487</f>
        <v>0</v>
      </c>
      <c r="Q487" s="583">
        <f>G487+N487+P487</f>
        <v>0</v>
      </c>
      <c r="R487" s="199"/>
      <c r="S487" s="199"/>
    </row>
    <row r="488" spans="1:19" s="1" customFormat="1" ht="12.75">
      <c r="A488" s="395">
        <v>381890</v>
      </c>
      <c r="B488" s="437" t="s">
        <v>409</v>
      </c>
      <c r="C488" s="397"/>
      <c r="D488" s="436"/>
      <c r="E488" s="436"/>
      <c r="F488" s="449"/>
      <c r="G488" s="544">
        <f t="shared" si="62"/>
        <v>0</v>
      </c>
      <c r="H488" s="538">
        <f t="shared" si="63"/>
        <v>0</v>
      </c>
      <c r="I488" s="539">
        <f t="shared" si="64"/>
        <v>0</v>
      </c>
      <c r="J488" s="540"/>
      <c r="K488" s="403"/>
      <c r="L488" s="541">
        <f t="shared" si="65"/>
      </c>
      <c r="M488" s="542"/>
      <c r="N488" s="544">
        <v>0</v>
      </c>
      <c r="O488" s="542"/>
      <c r="P488" s="545">
        <f>BOKFØRT!C488</f>
        <v>0</v>
      </c>
      <c r="Q488" s="583">
        <f t="shared" si="66"/>
        <v>0</v>
      </c>
      <c r="R488" s="199"/>
      <c r="S488" s="199"/>
    </row>
    <row r="489" spans="1:19" s="1" customFormat="1" ht="12.75">
      <c r="A489" s="395">
        <v>381891</v>
      </c>
      <c r="B489" s="408" t="s">
        <v>410</v>
      </c>
      <c r="C489" s="397"/>
      <c r="D489" s="438"/>
      <c r="E489" s="436"/>
      <c r="F489" s="439">
        <f>IF(D489=0,0,+G488)</f>
        <v>0</v>
      </c>
      <c r="G489" s="544">
        <f t="shared" si="62"/>
        <v>0</v>
      </c>
      <c r="H489" s="538">
        <f t="shared" si="63"/>
        <v>0</v>
      </c>
      <c r="I489" s="539">
        <f t="shared" si="64"/>
        <v>0</v>
      </c>
      <c r="J489" s="540"/>
      <c r="K489" s="403"/>
      <c r="L489" s="541">
        <f t="shared" si="65"/>
      </c>
      <c r="M489" s="542"/>
      <c r="N489" s="544">
        <v>0</v>
      </c>
      <c r="O489" s="542"/>
      <c r="P489" s="545">
        <f>BOKFØRT!C489</f>
        <v>0</v>
      </c>
      <c r="Q489" s="583">
        <f t="shared" si="66"/>
        <v>0</v>
      </c>
      <c r="R489" s="199"/>
      <c r="S489" s="199"/>
    </row>
    <row r="490" spans="1:19" s="1" customFormat="1" ht="12.75">
      <c r="A490" s="395">
        <v>383722</v>
      </c>
      <c r="B490" s="408" t="s">
        <v>385</v>
      </c>
      <c r="C490" s="397"/>
      <c r="D490" s="436"/>
      <c r="E490" s="436"/>
      <c r="F490" s="418"/>
      <c r="G490" s="544">
        <f t="shared" si="62"/>
        <v>0</v>
      </c>
      <c r="H490" s="538">
        <f>IF(Sum,Sos,0)</f>
        <v>0</v>
      </c>
      <c r="I490" s="539">
        <f t="shared" si="64"/>
        <v>0</v>
      </c>
      <c r="J490" s="540"/>
      <c r="K490" s="403"/>
      <c r="L490" s="541">
        <f t="shared" si="65"/>
      </c>
      <c r="M490" s="542"/>
      <c r="N490" s="544">
        <v>0</v>
      </c>
      <c r="O490" s="542"/>
      <c r="P490" s="545">
        <f>BOKFØRT!C490</f>
        <v>0</v>
      </c>
      <c r="Q490" s="583">
        <f t="shared" si="66"/>
        <v>0</v>
      </c>
      <c r="R490" s="199"/>
      <c r="S490" s="199"/>
    </row>
    <row r="491" spans="1:19" s="1" customFormat="1" ht="12.75">
      <c r="A491" s="395">
        <v>383723</v>
      </c>
      <c r="B491" s="437" t="s">
        <v>386</v>
      </c>
      <c r="C491" s="397"/>
      <c r="D491" s="438"/>
      <c r="E491" s="436"/>
      <c r="F491" s="439">
        <f>IF(D491=0,0,+G490)</f>
        <v>0</v>
      </c>
      <c r="G491" s="544">
        <f t="shared" si="62"/>
        <v>0</v>
      </c>
      <c r="H491" s="538">
        <f>IF(Sum,Sos,0)</f>
        <v>0</v>
      </c>
      <c r="I491" s="539">
        <f t="shared" si="64"/>
        <v>0</v>
      </c>
      <c r="J491" s="540"/>
      <c r="K491" s="403"/>
      <c r="L491" s="541">
        <f t="shared" si="65"/>
      </c>
      <c r="M491" s="542"/>
      <c r="N491" s="544">
        <v>0</v>
      </c>
      <c r="O491" s="542"/>
      <c r="P491" s="545">
        <f>BOKFØRT!C491</f>
        <v>0</v>
      </c>
      <c r="Q491" s="583">
        <f t="shared" si="66"/>
        <v>0</v>
      </c>
      <c r="R491" s="199"/>
      <c r="S491" s="199"/>
    </row>
    <row r="492" spans="1:19" s="1" customFormat="1" ht="12.75">
      <c r="A492" s="395">
        <v>384092</v>
      </c>
      <c r="B492" s="437" t="s">
        <v>590</v>
      </c>
      <c r="C492" s="397"/>
      <c r="D492" s="436"/>
      <c r="E492" s="436"/>
      <c r="F492" s="418"/>
      <c r="G492" s="544">
        <f t="shared" si="62"/>
        <v>0</v>
      </c>
      <c r="H492" s="538">
        <f t="shared" si="63"/>
        <v>0</v>
      </c>
      <c r="I492" s="539">
        <f t="shared" si="64"/>
        <v>0</v>
      </c>
      <c r="J492" s="540"/>
      <c r="K492" s="403"/>
      <c r="L492" s="541">
        <f t="shared" si="65"/>
      </c>
      <c r="M492" s="542"/>
      <c r="N492" s="544">
        <v>0</v>
      </c>
      <c r="O492" s="542"/>
      <c r="P492" s="545">
        <f>BOKFØRT!C492</f>
        <v>0</v>
      </c>
      <c r="Q492" s="583">
        <f t="shared" si="66"/>
        <v>0</v>
      </c>
      <c r="R492" s="199"/>
      <c r="S492" s="199"/>
    </row>
    <row r="493" spans="1:19" s="1" customFormat="1" ht="12.75">
      <c r="A493" s="395">
        <v>384095</v>
      </c>
      <c r="B493" s="408" t="s">
        <v>554</v>
      </c>
      <c r="C493" s="397"/>
      <c r="D493" s="440"/>
      <c r="E493" s="440"/>
      <c r="F493" s="413"/>
      <c r="G493" s="562">
        <f>SUM(I472:I492)</f>
        <v>0</v>
      </c>
      <c r="H493" s="414"/>
      <c r="I493" s="546" t="s">
        <v>555</v>
      </c>
      <c r="J493" s="546"/>
      <c r="K493" s="573"/>
      <c r="L493" s="541"/>
      <c r="M493" s="542"/>
      <c r="N493" s="562">
        <v>0</v>
      </c>
      <c r="O493" s="542"/>
      <c r="P493" s="545">
        <f>BOKFØRT!C493</f>
        <v>0</v>
      </c>
      <c r="Q493" s="583">
        <f t="shared" si="66"/>
        <v>0</v>
      </c>
      <c r="R493" s="199"/>
      <c r="S493" s="199"/>
    </row>
    <row r="494" spans="1:19" s="1" customFormat="1" ht="12.75">
      <c r="A494" s="395">
        <v>386810</v>
      </c>
      <c r="B494" s="437" t="s">
        <v>172</v>
      </c>
      <c r="C494" s="397"/>
      <c r="D494" s="436"/>
      <c r="E494" s="436"/>
      <c r="F494" s="418"/>
      <c r="G494" s="544">
        <f aca="true" t="shared" si="67" ref="G494:G510">IF(X=0,(IF(Me=0,Sa,Me*Sa)),(IF(Me=0,Sa*X,Me*X*Sa)))</f>
        <v>0</v>
      </c>
      <c r="H494" s="414"/>
      <c r="I494" s="540"/>
      <c r="J494" s="540"/>
      <c r="K494" s="403"/>
      <c r="L494" s="541">
        <f t="shared" si="65"/>
      </c>
      <c r="M494" s="542"/>
      <c r="N494" s="544">
        <v>0</v>
      </c>
      <c r="O494" s="542"/>
      <c r="P494" s="545">
        <f>BOKFØRT!C494</f>
        <v>0</v>
      </c>
      <c r="Q494" s="583">
        <f t="shared" si="66"/>
        <v>0</v>
      </c>
      <c r="R494" s="199"/>
      <c r="S494" s="199"/>
    </row>
    <row r="495" spans="1:19" s="1" customFormat="1" ht="12.75">
      <c r="A495" s="395">
        <v>386812</v>
      </c>
      <c r="B495" s="408" t="s">
        <v>173</v>
      </c>
      <c r="C495" s="397"/>
      <c r="D495" s="436"/>
      <c r="E495" s="436"/>
      <c r="F495" s="418"/>
      <c r="G495" s="544">
        <f t="shared" si="67"/>
        <v>0</v>
      </c>
      <c r="H495" s="414"/>
      <c r="I495" s="540"/>
      <c r="J495" s="540"/>
      <c r="K495" s="403"/>
      <c r="L495" s="541">
        <f t="shared" si="65"/>
      </c>
      <c r="M495" s="542"/>
      <c r="N495" s="544">
        <v>0</v>
      </c>
      <c r="O495" s="542"/>
      <c r="P495" s="545">
        <f>BOKFØRT!C495</f>
        <v>0</v>
      </c>
      <c r="Q495" s="583">
        <f t="shared" si="66"/>
        <v>0</v>
      </c>
      <c r="R495" s="199"/>
      <c r="S495" s="199"/>
    </row>
    <row r="496" spans="1:19" s="1" customFormat="1" ht="12.75">
      <c r="A496" s="395">
        <v>386814</v>
      </c>
      <c r="B496" s="437" t="s">
        <v>174</v>
      </c>
      <c r="C496" s="397"/>
      <c r="D496" s="436"/>
      <c r="E496" s="436"/>
      <c r="F496" s="418"/>
      <c r="G496" s="544">
        <f t="shared" si="67"/>
        <v>0</v>
      </c>
      <c r="H496" s="414"/>
      <c r="I496" s="540"/>
      <c r="J496" s="540"/>
      <c r="K496" s="403"/>
      <c r="L496" s="541">
        <f t="shared" si="65"/>
      </c>
      <c r="M496" s="542"/>
      <c r="N496" s="544">
        <v>0</v>
      </c>
      <c r="O496" s="542"/>
      <c r="P496" s="545">
        <f>BOKFØRT!C496</f>
        <v>0</v>
      </c>
      <c r="Q496" s="583">
        <f t="shared" si="66"/>
        <v>0</v>
      </c>
      <c r="R496" s="199"/>
      <c r="S496" s="199"/>
    </row>
    <row r="497" spans="1:19" s="1" customFormat="1" ht="12.75">
      <c r="A497" s="395">
        <v>386816</v>
      </c>
      <c r="B497" s="408" t="s">
        <v>175</v>
      </c>
      <c r="C497" s="397"/>
      <c r="D497" s="436"/>
      <c r="E497" s="436"/>
      <c r="F497" s="418"/>
      <c r="G497" s="544">
        <f t="shared" si="67"/>
        <v>0</v>
      </c>
      <c r="H497" s="414"/>
      <c r="I497" s="540"/>
      <c r="J497" s="540"/>
      <c r="K497" s="403"/>
      <c r="L497" s="541">
        <f t="shared" si="65"/>
      </c>
      <c r="M497" s="542"/>
      <c r="N497" s="544">
        <v>0</v>
      </c>
      <c r="O497" s="542"/>
      <c r="P497" s="545">
        <f>BOKFØRT!C497</f>
        <v>0</v>
      </c>
      <c r="Q497" s="583">
        <f t="shared" si="66"/>
        <v>0</v>
      </c>
      <c r="R497" s="199"/>
      <c r="S497" s="199"/>
    </row>
    <row r="498" spans="1:19" s="1" customFormat="1" ht="12.75">
      <c r="A498" s="395">
        <v>386818</v>
      </c>
      <c r="B498" s="437" t="s">
        <v>176</v>
      </c>
      <c r="C498" s="397"/>
      <c r="D498" s="436"/>
      <c r="E498" s="436"/>
      <c r="F498" s="418"/>
      <c r="G498" s="544">
        <f t="shared" si="67"/>
        <v>0</v>
      </c>
      <c r="H498" s="414"/>
      <c r="I498" s="540"/>
      <c r="J498" s="540"/>
      <c r="K498" s="403"/>
      <c r="L498" s="541">
        <f t="shared" si="65"/>
      </c>
      <c r="M498" s="542"/>
      <c r="N498" s="544">
        <v>0</v>
      </c>
      <c r="O498" s="542"/>
      <c r="P498" s="545">
        <f>BOKFØRT!C498</f>
        <v>0</v>
      </c>
      <c r="Q498" s="583">
        <f t="shared" si="66"/>
        <v>0</v>
      </c>
      <c r="R498" s="199"/>
      <c r="S498" s="199"/>
    </row>
    <row r="499" spans="1:19" s="1" customFormat="1" ht="12.75">
      <c r="A499" s="395">
        <v>386820</v>
      </c>
      <c r="B499" s="408" t="s">
        <v>177</v>
      </c>
      <c r="C499" s="397"/>
      <c r="D499" s="436"/>
      <c r="E499" s="436"/>
      <c r="F499" s="418"/>
      <c r="G499" s="544">
        <f t="shared" si="67"/>
        <v>0</v>
      </c>
      <c r="H499" s="414"/>
      <c r="I499" s="540"/>
      <c r="J499" s="540"/>
      <c r="K499" s="403"/>
      <c r="L499" s="541">
        <f t="shared" si="65"/>
      </c>
      <c r="M499" s="542"/>
      <c r="N499" s="544">
        <v>0</v>
      </c>
      <c r="O499" s="542"/>
      <c r="P499" s="545">
        <f>BOKFØRT!C499</f>
        <v>0</v>
      </c>
      <c r="Q499" s="583">
        <f t="shared" si="66"/>
        <v>0</v>
      </c>
      <c r="R499" s="199"/>
      <c r="S499" s="199"/>
    </row>
    <row r="500" spans="1:19" s="1" customFormat="1" ht="12.75">
      <c r="A500" s="395">
        <v>386822</v>
      </c>
      <c r="B500" s="408" t="s">
        <v>178</v>
      </c>
      <c r="C500" s="397"/>
      <c r="D500" s="436"/>
      <c r="E500" s="436"/>
      <c r="F500" s="418"/>
      <c r="G500" s="544">
        <f t="shared" si="67"/>
        <v>0</v>
      </c>
      <c r="H500" s="414"/>
      <c r="I500" s="540"/>
      <c r="J500" s="540"/>
      <c r="K500" s="403"/>
      <c r="L500" s="541">
        <f t="shared" si="65"/>
      </c>
      <c r="M500" s="542"/>
      <c r="N500" s="544">
        <v>0</v>
      </c>
      <c r="O500" s="542"/>
      <c r="P500" s="545">
        <f>BOKFØRT!C500</f>
        <v>0</v>
      </c>
      <c r="Q500" s="583">
        <f t="shared" si="66"/>
        <v>0</v>
      </c>
      <c r="R500" s="199"/>
      <c r="S500" s="199"/>
    </row>
    <row r="501" spans="1:19" s="1" customFormat="1" ht="12.75">
      <c r="A501" s="395">
        <v>386824</v>
      </c>
      <c r="B501" s="408" t="s">
        <v>179</v>
      </c>
      <c r="C501" s="397"/>
      <c r="D501" s="436"/>
      <c r="E501" s="436"/>
      <c r="F501" s="418"/>
      <c r="G501" s="544">
        <f t="shared" si="67"/>
        <v>0</v>
      </c>
      <c r="H501" s="414"/>
      <c r="I501" s="540"/>
      <c r="J501" s="540"/>
      <c r="K501" s="403"/>
      <c r="L501" s="541">
        <f t="shared" si="65"/>
      </c>
      <c r="M501" s="542"/>
      <c r="N501" s="544">
        <v>0</v>
      </c>
      <c r="O501" s="542"/>
      <c r="P501" s="545">
        <f>BOKFØRT!C501</f>
        <v>0</v>
      </c>
      <c r="Q501" s="583">
        <f t="shared" si="66"/>
        <v>0</v>
      </c>
      <c r="R501" s="199"/>
      <c r="S501" s="199"/>
    </row>
    <row r="502" spans="1:19" s="1" customFormat="1" ht="12.75">
      <c r="A502" s="395">
        <v>386840</v>
      </c>
      <c r="B502" s="408" t="s">
        <v>778</v>
      </c>
      <c r="C502" s="397"/>
      <c r="D502" s="436"/>
      <c r="E502" s="436"/>
      <c r="F502" s="418"/>
      <c r="G502" s="544">
        <f t="shared" si="67"/>
        <v>0</v>
      </c>
      <c r="H502" s="414"/>
      <c r="I502" s="540"/>
      <c r="J502" s="540"/>
      <c r="K502" s="403"/>
      <c r="L502" s="541">
        <f t="shared" si="65"/>
      </c>
      <c r="M502" s="542"/>
      <c r="N502" s="544">
        <v>0</v>
      </c>
      <c r="O502" s="542"/>
      <c r="P502" s="545">
        <f>BOKFØRT!C502</f>
        <v>0</v>
      </c>
      <c r="Q502" s="583">
        <f>G502+N502+P502</f>
        <v>0</v>
      </c>
      <c r="R502" s="199"/>
      <c r="S502" s="199"/>
    </row>
    <row r="503" spans="1:19" s="1" customFormat="1" ht="12.75">
      <c r="A503" s="395">
        <v>386850</v>
      </c>
      <c r="B503" s="408" t="s">
        <v>180</v>
      </c>
      <c r="C503" s="397"/>
      <c r="D503" s="436"/>
      <c r="E503" s="436"/>
      <c r="F503" s="418"/>
      <c r="G503" s="544">
        <f t="shared" si="67"/>
        <v>0</v>
      </c>
      <c r="H503" s="414"/>
      <c r="I503" s="540"/>
      <c r="J503" s="540"/>
      <c r="K503" s="403"/>
      <c r="L503" s="541">
        <f t="shared" si="65"/>
      </c>
      <c r="M503" s="542"/>
      <c r="N503" s="544">
        <v>0</v>
      </c>
      <c r="O503" s="542"/>
      <c r="P503" s="545">
        <f>BOKFØRT!C503</f>
        <v>0</v>
      </c>
      <c r="Q503" s="583">
        <f t="shared" si="66"/>
        <v>0</v>
      </c>
      <c r="R503" s="199"/>
      <c r="S503" s="199"/>
    </row>
    <row r="504" spans="1:19" s="1" customFormat="1" ht="12.75">
      <c r="A504" s="395">
        <v>386856</v>
      </c>
      <c r="B504" s="408" t="s">
        <v>293</v>
      </c>
      <c r="C504" s="397"/>
      <c r="D504" s="436"/>
      <c r="E504" s="436"/>
      <c r="F504" s="418"/>
      <c r="G504" s="544">
        <f t="shared" si="67"/>
        <v>0</v>
      </c>
      <c r="H504" s="414"/>
      <c r="I504" s="540"/>
      <c r="J504" s="540"/>
      <c r="K504" s="403"/>
      <c r="L504" s="541">
        <f t="shared" si="65"/>
      </c>
      <c r="M504" s="542"/>
      <c r="N504" s="544">
        <v>0</v>
      </c>
      <c r="O504" s="542"/>
      <c r="P504" s="545">
        <f>BOKFØRT!C504</f>
        <v>0</v>
      </c>
      <c r="Q504" s="583">
        <f t="shared" si="66"/>
        <v>0</v>
      </c>
      <c r="R504" s="199"/>
      <c r="S504" s="199"/>
    </row>
    <row r="505" spans="1:19" s="1" customFormat="1" ht="12.75">
      <c r="A505" s="395">
        <v>388712</v>
      </c>
      <c r="B505" s="437" t="s">
        <v>387</v>
      </c>
      <c r="C505" s="397"/>
      <c r="D505" s="436"/>
      <c r="E505" s="436"/>
      <c r="F505" s="418"/>
      <c r="G505" s="544">
        <f t="shared" si="67"/>
        <v>0</v>
      </c>
      <c r="H505" s="414"/>
      <c r="I505" s="540"/>
      <c r="J505" s="540"/>
      <c r="K505" s="403"/>
      <c r="L505" s="541">
        <f t="shared" si="65"/>
      </c>
      <c r="M505" s="542"/>
      <c r="N505" s="544">
        <v>0</v>
      </c>
      <c r="O505" s="542"/>
      <c r="P505" s="545">
        <f>BOKFØRT!C505</f>
        <v>0</v>
      </c>
      <c r="Q505" s="583">
        <f t="shared" si="66"/>
        <v>0</v>
      </c>
      <c r="R505" s="199"/>
      <c r="S505" s="199"/>
    </row>
    <row r="506" spans="1:19" s="1" customFormat="1" ht="12.75">
      <c r="A506" s="395">
        <v>389011</v>
      </c>
      <c r="B506" s="408" t="s">
        <v>11</v>
      </c>
      <c r="C506" s="397"/>
      <c r="D506" s="436"/>
      <c r="E506" s="436"/>
      <c r="F506" s="418"/>
      <c r="G506" s="544">
        <f t="shared" si="67"/>
        <v>0</v>
      </c>
      <c r="H506" s="414"/>
      <c r="I506" s="540"/>
      <c r="J506" s="540"/>
      <c r="K506" s="403"/>
      <c r="L506" s="541">
        <f t="shared" si="65"/>
      </c>
      <c r="M506" s="542"/>
      <c r="N506" s="544">
        <v>0</v>
      </c>
      <c r="O506" s="542"/>
      <c r="P506" s="545">
        <f>BOKFØRT!C506</f>
        <v>0</v>
      </c>
      <c r="Q506" s="583">
        <f t="shared" si="66"/>
        <v>0</v>
      </c>
      <c r="R506" s="199"/>
      <c r="S506" s="199"/>
    </row>
    <row r="507" spans="1:19" s="1" customFormat="1" ht="12.75">
      <c r="A507" s="395">
        <v>389027</v>
      </c>
      <c r="B507" s="408" t="s">
        <v>15</v>
      </c>
      <c r="C507" s="397"/>
      <c r="D507" s="436"/>
      <c r="E507" s="436"/>
      <c r="F507" s="418"/>
      <c r="G507" s="544">
        <f t="shared" si="67"/>
        <v>0</v>
      </c>
      <c r="H507" s="414"/>
      <c r="I507" s="540"/>
      <c r="J507" s="540"/>
      <c r="K507" s="403"/>
      <c r="L507" s="541">
        <f t="shared" si="65"/>
      </c>
      <c r="M507" s="542"/>
      <c r="N507" s="544">
        <v>0</v>
      </c>
      <c r="O507" s="542"/>
      <c r="P507" s="545">
        <f>BOKFØRT!C507</f>
        <v>0</v>
      </c>
      <c r="Q507" s="583">
        <f t="shared" si="66"/>
        <v>0</v>
      </c>
      <c r="R507" s="199"/>
      <c r="S507" s="199"/>
    </row>
    <row r="508" spans="1:19" s="1" customFormat="1" ht="12.75">
      <c r="A508" s="395">
        <v>389050</v>
      </c>
      <c r="B508" s="408" t="s">
        <v>17</v>
      </c>
      <c r="C508" s="397"/>
      <c r="D508" s="436"/>
      <c r="E508" s="436"/>
      <c r="F508" s="418"/>
      <c r="G508" s="544">
        <f t="shared" si="67"/>
        <v>0</v>
      </c>
      <c r="H508" s="414"/>
      <c r="I508" s="540"/>
      <c r="J508" s="540"/>
      <c r="K508" s="403"/>
      <c r="L508" s="541">
        <f t="shared" si="65"/>
      </c>
      <c r="M508" s="542"/>
      <c r="N508" s="544">
        <v>0</v>
      </c>
      <c r="O508" s="542"/>
      <c r="P508" s="545">
        <f>BOKFØRT!C508</f>
        <v>0</v>
      </c>
      <c r="Q508" s="583">
        <f t="shared" si="66"/>
        <v>0</v>
      </c>
      <c r="R508" s="199"/>
      <c r="S508" s="199"/>
    </row>
    <row r="509" spans="1:19" s="1" customFormat="1" ht="12.75">
      <c r="A509" s="395">
        <v>389064</v>
      </c>
      <c r="B509" s="408" t="s">
        <v>21</v>
      </c>
      <c r="C509" s="397"/>
      <c r="D509" s="436"/>
      <c r="E509" s="436"/>
      <c r="F509" s="418"/>
      <c r="G509" s="544">
        <f t="shared" si="67"/>
        <v>0</v>
      </c>
      <c r="H509" s="414"/>
      <c r="I509" s="540"/>
      <c r="J509" s="540"/>
      <c r="K509" s="403"/>
      <c r="L509" s="541">
        <f t="shared" si="65"/>
      </c>
      <c r="M509" s="542"/>
      <c r="N509" s="544">
        <v>0</v>
      </c>
      <c r="O509" s="542"/>
      <c r="P509" s="545">
        <f>BOKFØRT!C509</f>
        <v>0</v>
      </c>
      <c r="Q509" s="583">
        <f t="shared" si="66"/>
        <v>0</v>
      </c>
      <c r="R509" s="199"/>
      <c r="S509" s="199"/>
    </row>
    <row r="510" spans="1:19" s="1" customFormat="1" ht="12.75">
      <c r="A510" s="395">
        <v>389069</v>
      </c>
      <c r="B510" s="420" t="s">
        <v>564</v>
      </c>
      <c r="C510" s="421" t="s">
        <v>416</v>
      </c>
      <c r="D510" s="422"/>
      <c r="E510" s="422"/>
      <c r="F510" s="423"/>
      <c r="G510" s="548">
        <f t="shared" si="67"/>
        <v>0</v>
      </c>
      <c r="H510" s="414"/>
      <c r="I510" s="540"/>
      <c r="J510" s="540"/>
      <c r="K510" s="403"/>
      <c r="L510" s="541">
        <f t="shared" si="65"/>
      </c>
      <c r="M510" s="542"/>
      <c r="N510" s="548">
        <v>0</v>
      </c>
      <c r="O510" s="542"/>
      <c r="P510" s="550">
        <f>BOKFØRT!C510</f>
        <v>0</v>
      </c>
      <c r="Q510" s="583">
        <f t="shared" si="66"/>
        <v>0</v>
      </c>
      <c r="R510" s="199"/>
      <c r="S510" s="199"/>
    </row>
    <row r="511" spans="1:19" s="1" customFormat="1" ht="13.5" thickBot="1">
      <c r="A511" s="445" t="s">
        <v>401</v>
      </c>
      <c r="B511" s="426"/>
      <c r="C511" s="451"/>
      <c r="D511" s="433"/>
      <c r="E511" s="434"/>
      <c r="F511" s="448" t="s">
        <v>570</v>
      </c>
      <c r="G511" s="558">
        <f>SUM(G472:G510)</f>
        <v>0</v>
      </c>
      <c r="H511" s="414"/>
      <c r="I511" s="555"/>
      <c r="J511" s="555"/>
      <c r="K511" s="394"/>
      <c r="L511" s="558">
        <f>SUM(L472:L510)</f>
        <v>0</v>
      </c>
      <c r="M511" s="542"/>
      <c r="N511" s="558">
        <v>0</v>
      </c>
      <c r="O511" s="542"/>
      <c r="P511" s="559">
        <f>SUM(P472:P510)</f>
        <v>0</v>
      </c>
      <c r="Q511" s="583">
        <f t="shared" si="66"/>
        <v>0</v>
      </c>
      <c r="R511" s="199"/>
      <c r="S511" s="199"/>
    </row>
    <row r="512" spans="1:19" s="1" customFormat="1" ht="0.75" customHeight="1" thickTop="1">
      <c r="A512" s="431"/>
      <c r="B512" s="432"/>
      <c r="C512" s="427"/>
      <c r="D512" s="433"/>
      <c r="E512" s="434"/>
      <c r="F512" s="448"/>
      <c r="G512" s="540"/>
      <c r="H512" s="414"/>
      <c r="I512" s="540"/>
      <c r="J512" s="540"/>
      <c r="K512" s="394"/>
      <c r="L512" s="555"/>
      <c r="M512" s="542"/>
      <c r="N512" s="540"/>
      <c r="O512" s="542"/>
      <c r="P512" s="561"/>
      <c r="Q512" s="583"/>
      <c r="R512" s="199"/>
      <c r="S512" s="199"/>
    </row>
    <row r="513" spans="1:19" s="1" customFormat="1" ht="24.75" customHeight="1" thickTop="1">
      <c r="A513" s="391" t="s">
        <v>527</v>
      </c>
      <c r="B513" s="435"/>
      <c r="C513" s="427"/>
      <c r="D513" s="511" t="s">
        <v>422</v>
      </c>
      <c r="E513" s="512" t="s">
        <v>423</v>
      </c>
      <c r="F513" s="511" t="s">
        <v>424</v>
      </c>
      <c r="G513" s="533" t="s">
        <v>425</v>
      </c>
      <c r="H513" s="511" t="s">
        <v>426</v>
      </c>
      <c r="I513" s="534" t="s">
        <v>427</v>
      </c>
      <c r="J513" s="534"/>
      <c r="K513" s="394"/>
      <c r="L513" s="533" t="s">
        <v>688</v>
      </c>
      <c r="M513" s="536"/>
      <c r="N513" s="533" t="s">
        <v>425</v>
      </c>
      <c r="O513" s="536"/>
      <c r="P513" s="533" t="s">
        <v>677</v>
      </c>
      <c r="Q513" s="583"/>
      <c r="R513" s="199"/>
      <c r="S513" s="199"/>
    </row>
    <row r="514" spans="1:19" s="1" customFormat="1" ht="12.75">
      <c r="A514" s="395">
        <v>391910</v>
      </c>
      <c r="B514" s="408" t="s">
        <v>182</v>
      </c>
      <c r="C514" s="397"/>
      <c r="D514" s="436"/>
      <c r="E514" s="436"/>
      <c r="F514" s="418"/>
      <c r="G514" s="537">
        <f aca="true" t="shared" si="68" ref="G514:G524">IF(X=0,(IF(Me=0,Sa,Me*Sa)),(IF(Me=0,Sa*X,Me*X*Sa)))</f>
        <v>0</v>
      </c>
      <c r="H514" s="538">
        <f aca="true" t="shared" si="69" ref="H514:H524">IF(Sum,Sos,0)</f>
        <v>0</v>
      </c>
      <c r="I514" s="539">
        <f aca="true" t="shared" si="70" ref="I514:I524">IF(Prosent&lt;&gt;0,(Sum*Prosent)/100,0)</f>
        <v>0</v>
      </c>
      <c r="J514" s="540"/>
      <c r="K514" s="403"/>
      <c r="L514" s="541">
        <f aca="true" t="shared" si="71" ref="L514:L537">IF(FMVAE&lt;&gt;"",(Sum*mva)-Sum,"")</f>
      </c>
      <c r="M514" s="542"/>
      <c r="N514" s="537">
        <v>0</v>
      </c>
      <c r="O514" s="542"/>
      <c r="P514" s="543">
        <f>BOKFØRT!C514</f>
        <v>0</v>
      </c>
      <c r="Q514" s="583">
        <f aca="true" t="shared" si="72" ref="Q514:Q538">G514+N514+P514</f>
        <v>0</v>
      </c>
      <c r="R514" s="199"/>
      <c r="S514" s="199"/>
    </row>
    <row r="515" spans="1:19" s="1" customFormat="1" ht="12.75">
      <c r="A515" s="395">
        <v>391911</v>
      </c>
      <c r="B515" s="437" t="s">
        <v>183</v>
      </c>
      <c r="C515" s="397"/>
      <c r="D515" s="438"/>
      <c r="E515" s="436"/>
      <c r="F515" s="439">
        <f>IF(D515=0,0,+G514)</f>
        <v>0</v>
      </c>
      <c r="G515" s="544">
        <f t="shared" si="68"/>
        <v>0</v>
      </c>
      <c r="H515" s="538">
        <f t="shared" si="69"/>
        <v>0</v>
      </c>
      <c r="I515" s="539">
        <f t="shared" si="70"/>
        <v>0</v>
      </c>
      <c r="J515" s="540"/>
      <c r="K515" s="403"/>
      <c r="L515" s="541">
        <f t="shared" si="71"/>
      </c>
      <c r="M515" s="542"/>
      <c r="N515" s="544">
        <v>0</v>
      </c>
      <c r="O515" s="542"/>
      <c r="P515" s="545">
        <f>BOKFØRT!C515</f>
        <v>0</v>
      </c>
      <c r="Q515" s="583">
        <f t="shared" si="72"/>
        <v>0</v>
      </c>
      <c r="R515" s="199"/>
      <c r="S515" s="199"/>
    </row>
    <row r="516" spans="1:19" s="1" customFormat="1" ht="12.75">
      <c r="A516" s="395">
        <v>391920</v>
      </c>
      <c r="B516" s="408" t="s">
        <v>184</v>
      </c>
      <c r="C516" s="397"/>
      <c r="D516" s="436"/>
      <c r="E516" s="436"/>
      <c r="F516" s="418"/>
      <c r="G516" s="544">
        <f t="shared" si="68"/>
        <v>0</v>
      </c>
      <c r="H516" s="538">
        <f t="shared" si="69"/>
        <v>0</v>
      </c>
      <c r="I516" s="539">
        <f t="shared" si="70"/>
        <v>0</v>
      </c>
      <c r="J516" s="540"/>
      <c r="K516" s="403"/>
      <c r="L516" s="541">
        <f t="shared" si="71"/>
      </c>
      <c r="M516" s="542"/>
      <c r="N516" s="544">
        <v>0</v>
      </c>
      <c r="O516" s="542"/>
      <c r="P516" s="545">
        <f>BOKFØRT!C516</f>
        <v>0</v>
      </c>
      <c r="Q516" s="583">
        <f t="shared" si="72"/>
        <v>0</v>
      </c>
      <c r="R516" s="199"/>
      <c r="S516" s="199"/>
    </row>
    <row r="517" spans="1:19" s="1" customFormat="1" ht="12.75">
      <c r="A517" s="395">
        <v>391921</v>
      </c>
      <c r="B517" s="437" t="s">
        <v>185</v>
      </c>
      <c r="C517" s="397"/>
      <c r="D517" s="438"/>
      <c r="E517" s="436"/>
      <c r="F517" s="439">
        <f>IF(D517=0,0,+G516)</f>
        <v>0</v>
      </c>
      <c r="G517" s="544">
        <f t="shared" si="68"/>
        <v>0</v>
      </c>
      <c r="H517" s="538">
        <f t="shared" si="69"/>
        <v>0</v>
      </c>
      <c r="I517" s="539">
        <f t="shared" si="70"/>
        <v>0</v>
      </c>
      <c r="J517" s="540"/>
      <c r="K517" s="403"/>
      <c r="L517" s="541">
        <f t="shared" si="71"/>
      </c>
      <c r="M517" s="542"/>
      <c r="N517" s="544">
        <v>0</v>
      </c>
      <c r="O517" s="542"/>
      <c r="P517" s="545">
        <f>BOKFØRT!C517</f>
        <v>0</v>
      </c>
      <c r="Q517" s="583">
        <f t="shared" si="72"/>
        <v>0</v>
      </c>
      <c r="R517" s="199"/>
      <c r="S517" s="199"/>
    </row>
    <row r="518" spans="1:19" s="1" customFormat="1" ht="12.75">
      <c r="A518" s="395">
        <v>391930</v>
      </c>
      <c r="B518" s="408" t="s">
        <v>186</v>
      </c>
      <c r="C518" s="397"/>
      <c r="D518" s="436"/>
      <c r="E518" s="436"/>
      <c r="F518" s="418"/>
      <c r="G518" s="544">
        <f t="shared" si="68"/>
        <v>0</v>
      </c>
      <c r="H518" s="538">
        <f t="shared" si="69"/>
        <v>0</v>
      </c>
      <c r="I518" s="539">
        <f t="shared" si="70"/>
        <v>0</v>
      </c>
      <c r="J518" s="540"/>
      <c r="K518" s="403"/>
      <c r="L518" s="541">
        <f t="shared" si="71"/>
      </c>
      <c r="M518" s="542"/>
      <c r="N518" s="544">
        <v>0</v>
      </c>
      <c r="O518" s="542"/>
      <c r="P518" s="545">
        <f>BOKFØRT!C518</f>
        <v>0</v>
      </c>
      <c r="Q518" s="583">
        <f t="shared" si="72"/>
        <v>0</v>
      </c>
      <c r="R518" s="199"/>
      <c r="S518" s="199"/>
    </row>
    <row r="519" spans="1:19" s="1" customFormat="1" ht="12.75">
      <c r="A519" s="395">
        <v>391931</v>
      </c>
      <c r="B519" s="437" t="s">
        <v>187</v>
      </c>
      <c r="C519" s="397"/>
      <c r="D519" s="438"/>
      <c r="E519" s="436"/>
      <c r="F519" s="439">
        <f>IF(D519=0,0,+G518)</f>
        <v>0</v>
      </c>
      <c r="G519" s="544">
        <f t="shared" si="68"/>
        <v>0</v>
      </c>
      <c r="H519" s="538">
        <f t="shared" si="69"/>
        <v>0</v>
      </c>
      <c r="I519" s="539">
        <f t="shared" si="70"/>
        <v>0</v>
      </c>
      <c r="J519" s="540"/>
      <c r="K519" s="403"/>
      <c r="L519" s="541">
        <f t="shared" si="71"/>
      </c>
      <c r="M519" s="542"/>
      <c r="N519" s="544">
        <v>0</v>
      </c>
      <c r="O519" s="542"/>
      <c r="P519" s="545">
        <f>BOKFØRT!C519</f>
        <v>0</v>
      </c>
      <c r="Q519" s="583">
        <f t="shared" si="72"/>
        <v>0</v>
      </c>
      <c r="R519" s="199"/>
      <c r="S519" s="199"/>
    </row>
    <row r="520" spans="1:19" s="1" customFormat="1" ht="12.75">
      <c r="A520" s="395">
        <v>391940</v>
      </c>
      <c r="B520" s="408" t="s">
        <v>188</v>
      </c>
      <c r="C520" s="397"/>
      <c r="D520" s="436"/>
      <c r="E520" s="436"/>
      <c r="F520" s="418"/>
      <c r="G520" s="544">
        <f t="shared" si="68"/>
        <v>0</v>
      </c>
      <c r="H520" s="538">
        <f t="shared" si="69"/>
        <v>0</v>
      </c>
      <c r="I520" s="539">
        <f t="shared" si="70"/>
        <v>0</v>
      </c>
      <c r="J520" s="540"/>
      <c r="K520" s="403"/>
      <c r="L520" s="541">
        <f t="shared" si="71"/>
      </c>
      <c r="M520" s="542"/>
      <c r="N520" s="544">
        <v>0</v>
      </c>
      <c r="O520" s="542"/>
      <c r="P520" s="545">
        <f>BOKFØRT!C520</f>
        <v>0</v>
      </c>
      <c r="Q520" s="583">
        <f t="shared" si="72"/>
        <v>0</v>
      </c>
      <c r="R520" s="199"/>
      <c r="S520" s="199"/>
    </row>
    <row r="521" spans="1:19" s="1" customFormat="1" ht="12.75">
      <c r="A521" s="395">
        <v>391941</v>
      </c>
      <c r="B521" s="437" t="s">
        <v>189</v>
      </c>
      <c r="C521" s="397"/>
      <c r="D521" s="438"/>
      <c r="E521" s="436"/>
      <c r="F521" s="439">
        <f>IF(D521=0,0,+G520)</f>
        <v>0</v>
      </c>
      <c r="G521" s="544">
        <f t="shared" si="68"/>
        <v>0</v>
      </c>
      <c r="H521" s="538">
        <f t="shared" si="69"/>
        <v>0</v>
      </c>
      <c r="I521" s="539">
        <f t="shared" si="70"/>
        <v>0</v>
      </c>
      <c r="J521" s="540"/>
      <c r="K521" s="403"/>
      <c r="L521" s="541">
        <f t="shared" si="71"/>
      </c>
      <c r="M521" s="542"/>
      <c r="N521" s="544">
        <v>0</v>
      </c>
      <c r="O521" s="542"/>
      <c r="P521" s="545">
        <f>BOKFØRT!C521</f>
        <v>0</v>
      </c>
      <c r="Q521" s="583">
        <f t="shared" si="72"/>
        <v>0</v>
      </c>
      <c r="R521" s="199"/>
      <c r="S521" s="199"/>
    </row>
    <row r="522" spans="1:19" s="1" customFormat="1" ht="12.75">
      <c r="A522" s="395">
        <v>391990</v>
      </c>
      <c r="B522" s="408" t="s">
        <v>190</v>
      </c>
      <c r="C522" s="397"/>
      <c r="D522" s="436"/>
      <c r="E522" s="436"/>
      <c r="F522" s="418"/>
      <c r="G522" s="544">
        <f t="shared" si="68"/>
        <v>0</v>
      </c>
      <c r="H522" s="538">
        <f t="shared" si="69"/>
        <v>0</v>
      </c>
      <c r="I522" s="539">
        <f t="shared" si="70"/>
        <v>0</v>
      </c>
      <c r="J522" s="540"/>
      <c r="K522" s="403"/>
      <c r="L522" s="541">
        <f t="shared" si="71"/>
      </c>
      <c r="M522" s="542"/>
      <c r="N522" s="544">
        <v>0</v>
      </c>
      <c r="O522" s="542"/>
      <c r="P522" s="545">
        <f>BOKFØRT!C522</f>
        <v>0</v>
      </c>
      <c r="Q522" s="583">
        <f t="shared" si="72"/>
        <v>0</v>
      </c>
      <c r="R522" s="199"/>
      <c r="S522" s="199"/>
    </row>
    <row r="523" spans="1:19" s="1" customFormat="1" ht="12.75">
      <c r="A523" s="395">
        <v>391991</v>
      </c>
      <c r="B523" s="408" t="s">
        <v>191</v>
      </c>
      <c r="C523" s="397"/>
      <c r="D523" s="438"/>
      <c r="E523" s="436"/>
      <c r="F523" s="439">
        <f>IF(D523=0,0,+G522)</f>
        <v>0</v>
      </c>
      <c r="G523" s="544">
        <f t="shared" si="68"/>
        <v>0</v>
      </c>
      <c r="H523" s="538">
        <f t="shared" si="69"/>
        <v>0</v>
      </c>
      <c r="I523" s="539">
        <f t="shared" si="70"/>
        <v>0</v>
      </c>
      <c r="J523" s="540"/>
      <c r="K523" s="403"/>
      <c r="L523" s="541">
        <f t="shared" si="71"/>
      </c>
      <c r="M523" s="542"/>
      <c r="N523" s="544">
        <v>0</v>
      </c>
      <c r="O523" s="542"/>
      <c r="P523" s="545">
        <f>BOKFØRT!C523</f>
        <v>0</v>
      </c>
      <c r="Q523" s="583">
        <f t="shared" si="72"/>
        <v>0</v>
      </c>
      <c r="R523" s="199"/>
      <c r="S523" s="199"/>
    </row>
    <row r="524" spans="1:19" s="1" customFormat="1" ht="12.75">
      <c r="A524" s="395">
        <v>394092</v>
      </c>
      <c r="B524" s="408" t="s">
        <v>590</v>
      </c>
      <c r="C524" s="397"/>
      <c r="D524" s="436"/>
      <c r="E524" s="436"/>
      <c r="F524" s="418"/>
      <c r="G524" s="544">
        <f t="shared" si="68"/>
        <v>0</v>
      </c>
      <c r="H524" s="538">
        <f t="shared" si="69"/>
        <v>0</v>
      </c>
      <c r="I524" s="539">
        <f t="shared" si="70"/>
        <v>0</v>
      </c>
      <c r="J524" s="540"/>
      <c r="K524" s="403"/>
      <c r="L524" s="541">
        <f t="shared" si="71"/>
      </c>
      <c r="M524" s="542"/>
      <c r="N524" s="544">
        <v>0</v>
      </c>
      <c r="O524" s="542"/>
      <c r="P524" s="545">
        <f>BOKFØRT!C524</f>
        <v>0</v>
      </c>
      <c r="Q524" s="583">
        <f t="shared" si="72"/>
        <v>0</v>
      </c>
      <c r="R524" s="199"/>
      <c r="S524" s="199"/>
    </row>
    <row r="525" spans="1:19" s="1" customFormat="1" ht="12.75">
      <c r="A525" s="395">
        <v>394095</v>
      </c>
      <c r="B525" s="408" t="s">
        <v>554</v>
      </c>
      <c r="C525" s="397"/>
      <c r="D525" s="440"/>
      <c r="E525" s="440"/>
      <c r="F525" s="413"/>
      <c r="G525" s="562">
        <f>SUM(I514:I524)</f>
        <v>0</v>
      </c>
      <c r="H525" s="414"/>
      <c r="I525" s="546" t="s">
        <v>555</v>
      </c>
      <c r="J525" s="546"/>
      <c r="K525" s="573"/>
      <c r="L525" s="541"/>
      <c r="M525" s="542"/>
      <c r="N525" s="562">
        <v>0</v>
      </c>
      <c r="O525" s="542"/>
      <c r="P525" s="545">
        <f>BOKFØRT!C525</f>
        <v>0</v>
      </c>
      <c r="Q525" s="583">
        <f t="shared" si="72"/>
        <v>0</v>
      </c>
      <c r="R525" s="199"/>
      <c r="S525" s="199"/>
    </row>
    <row r="526" spans="1:19" s="1" customFormat="1" ht="12.75">
      <c r="A526" s="395">
        <v>396910</v>
      </c>
      <c r="B526" s="408" t="s">
        <v>192</v>
      </c>
      <c r="C526" s="397"/>
      <c r="D526" s="436"/>
      <c r="E526" s="436"/>
      <c r="F526" s="418"/>
      <c r="G526" s="544">
        <f aca="true" t="shared" si="73" ref="G526:G537">IF(X=0,(IF(Me=0,Sa,Me*Sa)),(IF(Me=0,Sa*X,Me*X*Sa)))</f>
        <v>0</v>
      </c>
      <c r="H526" s="414"/>
      <c r="I526" s="540"/>
      <c r="J526" s="540"/>
      <c r="K526" s="403"/>
      <c r="L526" s="541">
        <f t="shared" si="71"/>
      </c>
      <c r="M526" s="542"/>
      <c r="N526" s="544">
        <v>0</v>
      </c>
      <c r="O526" s="542"/>
      <c r="P526" s="545">
        <f>BOKFØRT!C526</f>
        <v>0</v>
      </c>
      <c r="Q526" s="583">
        <f t="shared" si="72"/>
        <v>0</v>
      </c>
      <c r="R526" s="199"/>
      <c r="S526" s="199"/>
    </row>
    <row r="527" spans="1:19" s="1" customFormat="1" ht="12.75">
      <c r="A527" s="395">
        <v>396920</v>
      </c>
      <c r="B527" s="408" t="s">
        <v>193</v>
      </c>
      <c r="C527" s="397"/>
      <c r="D527" s="436"/>
      <c r="E527" s="436"/>
      <c r="F527" s="418"/>
      <c r="G527" s="544">
        <f t="shared" si="73"/>
        <v>0</v>
      </c>
      <c r="H527" s="414"/>
      <c r="I527" s="540"/>
      <c r="J527" s="540"/>
      <c r="K527" s="403"/>
      <c r="L527" s="541">
        <f t="shared" si="71"/>
      </c>
      <c r="M527" s="542"/>
      <c r="N527" s="544">
        <v>0</v>
      </c>
      <c r="O527" s="542"/>
      <c r="P527" s="545">
        <f>BOKFØRT!C527</f>
        <v>0</v>
      </c>
      <c r="Q527" s="583">
        <f t="shared" si="72"/>
        <v>0</v>
      </c>
      <c r="R527" s="199"/>
      <c r="S527" s="199"/>
    </row>
    <row r="528" spans="1:19" s="1" customFormat="1" ht="12.75">
      <c r="A528" s="395">
        <v>396921</v>
      </c>
      <c r="B528" s="437" t="s">
        <v>194</v>
      </c>
      <c r="C528" s="397"/>
      <c r="D528" s="436"/>
      <c r="E528" s="436"/>
      <c r="F528" s="418"/>
      <c r="G528" s="544">
        <f t="shared" si="73"/>
        <v>0</v>
      </c>
      <c r="H528" s="414"/>
      <c r="I528" s="540"/>
      <c r="J528" s="540"/>
      <c r="K528" s="403"/>
      <c r="L528" s="541">
        <f t="shared" si="71"/>
      </c>
      <c r="M528" s="542"/>
      <c r="N528" s="544">
        <v>0</v>
      </c>
      <c r="O528" s="542"/>
      <c r="P528" s="545">
        <f>BOKFØRT!C528</f>
        <v>0</v>
      </c>
      <c r="Q528" s="583">
        <f t="shared" si="72"/>
        <v>0</v>
      </c>
      <c r="R528" s="199"/>
      <c r="S528" s="199"/>
    </row>
    <row r="529" spans="1:19" s="1" customFormat="1" ht="12.75">
      <c r="A529" s="395">
        <v>396930</v>
      </c>
      <c r="B529" s="408" t="s">
        <v>195</v>
      </c>
      <c r="C529" s="397"/>
      <c r="D529" s="436"/>
      <c r="E529" s="436"/>
      <c r="F529" s="418"/>
      <c r="G529" s="544">
        <f t="shared" si="73"/>
        <v>0</v>
      </c>
      <c r="H529" s="414"/>
      <c r="I529" s="540"/>
      <c r="J529" s="540"/>
      <c r="K529" s="403"/>
      <c r="L529" s="541">
        <f t="shared" si="71"/>
      </c>
      <c r="M529" s="542"/>
      <c r="N529" s="544">
        <v>0</v>
      </c>
      <c r="O529" s="542"/>
      <c r="P529" s="545">
        <f>BOKFØRT!C529</f>
        <v>0</v>
      </c>
      <c r="Q529" s="583">
        <f t="shared" si="72"/>
        <v>0</v>
      </c>
      <c r="R529" s="199"/>
      <c r="S529" s="199"/>
    </row>
    <row r="530" spans="1:19" s="1" customFormat="1" ht="12.75">
      <c r="A530" s="395">
        <v>396931</v>
      </c>
      <c r="B530" s="437" t="s">
        <v>196</v>
      </c>
      <c r="C530" s="397"/>
      <c r="D530" s="436"/>
      <c r="E530" s="436"/>
      <c r="F530" s="418"/>
      <c r="G530" s="544">
        <f t="shared" si="73"/>
        <v>0</v>
      </c>
      <c r="H530" s="414"/>
      <c r="I530" s="540"/>
      <c r="J530" s="540"/>
      <c r="K530" s="403"/>
      <c r="L530" s="541">
        <f t="shared" si="71"/>
      </c>
      <c r="M530" s="542"/>
      <c r="N530" s="544">
        <v>0</v>
      </c>
      <c r="O530" s="542"/>
      <c r="P530" s="545">
        <f>BOKFØRT!C530</f>
        <v>0</v>
      </c>
      <c r="Q530" s="583">
        <f t="shared" si="72"/>
        <v>0</v>
      </c>
      <c r="R530" s="199"/>
      <c r="S530" s="199"/>
    </row>
    <row r="531" spans="1:19" s="1" customFormat="1" ht="12.75">
      <c r="A531" s="395">
        <v>396939</v>
      </c>
      <c r="B531" s="408" t="s">
        <v>197</v>
      </c>
      <c r="C531" s="397"/>
      <c r="D531" s="436"/>
      <c r="E531" s="436"/>
      <c r="F531" s="418"/>
      <c r="G531" s="544">
        <f t="shared" si="73"/>
        <v>0</v>
      </c>
      <c r="H531" s="414"/>
      <c r="I531" s="540"/>
      <c r="J531" s="540"/>
      <c r="K531" s="403"/>
      <c r="L531" s="541">
        <f t="shared" si="71"/>
      </c>
      <c r="M531" s="542"/>
      <c r="N531" s="544">
        <v>0</v>
      </c>
      <c r="O531" s="542"/>
      <c r="P531" s="545">
        <f>BOKFØRT!C531</f>
        <v>0</v>
      </c>
      <c r="Q531" s="583">
        <f t="shared" si="72"/>
        <v>0</v>
      </c>
      <c r="R531" s="199"/>
      <c r="S531" s="199"/>
    </row>
    <row r="532" spans="1:19" s="1" customFormat="1" ht="12.75">
      <c r="A532" s="395">
        <v>396940</v>
      </c>
      <c r="B532" s="437" t="s">
        <v>198</v>
      </c>
      <c r="C532" s="397"/>
      <c r="D532" s="436"/>
      <c r="E532" s="436"/>
      <c r="F532" s="418"/>
      <c r="G532" s="544">
        <f t="shared" si="73"/>
        <v>0</v>
      </c>
      <c r="H532" s="414"/>
      <c r="I532" s="540"/>
      <c r="J532" s="540"/>
      <c r="K532" s="403"/>
      <c r="L532" s="541">
        <f t="shared" si="71"/>
      </c>
      <c r="M532" s="542"/>
      <c r="N532" s="544">
        <v>0</v>
      </c>
      <c r="O532" s="542"/>
      <c r="P532" s="545">
        <f>BOKFØRT!C532</f>
        <v>0</v>
      </c>
      <c r="Q532" s="583">
        <f t="shared" si="72"/>
        <v>0</v>
      </c>
      <c r="R532" s="199"/>
      <c r="S532" s="199"/>
    </row>
    <row r="533" spans="1:19" s="1" customFormat="1" ht="12.75">
      <c r="A533" s="395">
        <v>396941</v>
      </c>
      <c r="B533" s="408" t="s">
        <v>743</v>
      </c>
      <c r="C533" s="397"/>
      <c r="D533" s="436"/>
      <c r="E533" s="436"/>
      <c r="F533" s="418"/>
      <c r="G533" s="544">
        <f t="shared" si="73"/>
        <v>0</v>
      </c>
      <c r="H533" s="414"/>
      <c r="I533" s="540"/>
      <c r="J533" s="540"/>
      <c r="K533" s="403"/>
      <c r="L533" s="541">
        <f t="shared" si="71"/>
      </c>
      <c r="M533" s="542"/>
      <c r="N533" s="544">
        <v>0</v>
      </c>
      <c r="O533" s="542"/>
      <c r="P533" s="545">
        <f>BOKFØRT!C533</f>
        <v>0</v>
      </c>
      <c r="Q533" s="583">
        <f t="shared" si="72"/>
        <v>0</v>
      </c>
      <c r="R533" s="199"/>
      <c r="S533" s="199"/>
    </row>
    <row r="534" spans="1:19" s="1" customFormat="1" ht="12.75">
      <c r="A534" s="395">
        <v>399027</v>
      </c>
      <c r="B534" s="408" t="s">
        <v>15</v>
      </c>
      <c r="C534" s="397"/>
      <c r="D534" s="436"/>
      <c r="E534" s="436"/>
      <c r="F534" s="418"/>
      <c r="G534" s="544">
        <f t="shared" si="73"/>
        <v>0</v>
      </c>
      <c r="H534" s="414"/>
      <c r="I534" s="540"/>
      <c r="J534" s="540"/>
      <c r="K534" s="403"/>
      <c r="L534" s="541">
        <f t="shared" si="71"/>
      </c>
      <c r="M534" s="542"/>
      <c r="N534" s="544">
        <v>0</v>
      </c>
      <c r="O534" s="542"/>
      <c r="P534" s="545">
        <f>BOKFØRT!C534</f>
        <v>0</v>
      </c>
      <c r="Q534" s="583">
        <f t="shared" si="72"/>
        <v>0</v>
      </c>
      <c r="R534" s="199"/>
      <c r="S534" s="199"/>
    </row>
    <row r="535" spans="1:19" s="1" customFormat="1" ht="12.75">
      <c r="A535" s="395">
        <v>399050</v>
      </c>
      <c r="B535" s="437" t="s">
        <v>17</v>
      </c>
      <c r="C535" s="397"/>
      <c r="D535" s="436"/>
      <c r="E535" s="436"/>
      <c r="F535" s="418"/>
      <c r="G535" s="544">
        <f t="shared" si="73"/>
        <v>0</v>
      </c>
      <c r="H535" s="414"/>
      <c r="I535" s="540"/>
      <c r="J535" s="540"/>
      <c r="K535" s="403"/>
      <c r="L535" s="541">
        <f t="shared" si="71"/>
      </c>
      <c r="M535" s="542"/>
      <c r="N535" s="544">
        <v>0</v>
      </c>
      <c r="O535" s="542"/>
      <c r="P535" s="545">
        <f>BOKFØRT!C535</f>
        <v>0</v>
      </c>
      <c r="Q535" s="583">
        <f t="shared" si="72"/>
        <v>0</v>
      </c>
      <c r="R535" s="199"/>
      <c r="S535" s="199"/>
    </row>
    <row r="536" spans="1:19" s="1" customFormat="1" ht="12.75">
      <c r="A536" s="395">
        <v>399064</v>
      </c>
      <c r="B536" s="408" t="s">
        <v>21</v>
      </c>
      <c r="C536" s="397"/>
      <c r="D536" s="436"/>
      <c r="E536" s="436"/>
      <c r="F536" s="418"/>
      <c r="G536" s="544">
        <f t="shared" si="73"/>
        <v>0</v>
      </c>
      <c r="H536" s="414"/>
      <c r="I536" s="540"/>
      <c r="J536" s="540"/>
      <c r="K536" s="403"/>
      <c r="L536" s="541">
        <f t="shared" si="71"/>
      </c>
      <c r="M536" s="542"/>
      <c r="N536" s="544">
        <v>0</v>
      </c>
      <c r="O536" s="542"/>
      <c r="P536" s="545">
        <f>BOKFØRT!C536</f>
        <v>0</v>
      </c>
      <c r="Q536" s="583">
        <f t="shared" si="72"/>
        <v>0</v>
      </c>
      <c r="R536" s="199"/>
      <c r="S536" s="199"/>
    </row>
    <row r="537" spans="1:19" s="1" customFormat="1" ht="12.75">
      <c r="A537" s="395">
        <v>399069</v>
      </c>
      <c r="B537" s="420" t="s">
        <v>564</v>
      </c>
      <c r="C537" s="421" t="s">
        <v>416</v>
      </c>
      <c r="D537" s="422"/>
      <c r="E537" s="422"/>
      <c r="F537" s="423"/>
      <c r="G537" s="548">
        <f t="shared" si="73"/>
        <v>0</v>
      </c>
      <c r="H537" s="414"/>
      <c r="I537" s="540"/>
      <c r="J537" s="540"/>
      <c r="K537" s="403"/>
      <c r="L537" s="541">
        <f t="shared" si="71"/>
      </c>
      <c r="M537" s="542"/>
      <c r="N537" s="548">
        <v>0</v>
      </c>
      <c r="O537" s="542"/>
      <c r="P537" s="550">
        <f>BOKFØRT!C537</f>
        <v>0</v>
      </c>
      <c r="Q537" s="583">
        <f t="shared" si="72"/>
        <v>0</v>
      </c>
      <c r="R537" s="199"/>
      <c r="S537" s="199"/>
    </row>
    <row r="538" spans="1:19" s="1" customFormat="1" ht="13.5" thickBot="1">
      <c r="A538" s="445" t="s">
        <v>401</v>
      </c>
      <c r="B538" s="426"/>
      <c r="C538" s="451"/>
      <c r="D538" s="433"/>
      <c r="E538" s="434"/>
      <c r="F538" s="448" t="s">
        <v>570</v>
      </c>
      <c r="G538" s="558">
        <f>SUM(G514:G537)</f>
        <v>0</v>
      </c>
      <c r="H538" s="414"/>
      <c r="I538" s="555"/>
      <c r="J538" s="555"/>
      <c r="K538" s="394"/>
      <c r="L538" s="558">
        <f>SUM(L514:L537)</f>
        <v>0</v>
      </c>
      <c r="M538" s="542"/>
      <c r="N538" s="558">
        <v>0</v>
      </c>
      <c r="O538" s="542"/>
      <c r="P538" s="559">
        <f>SUM(P514:P537)</f>
        <v>0</v>
      </c>
      <c r="Q538" s="583">
        <f t="shared" si="72"/>
        <v>0</v>
      </c>
      <c r="R538" s="199"/>
      <c r="S538" s="199"/>
    </row>
    <row r="539" spans="1:19" s="1" customFormat="1" ht="0.75" customHeight="1" thickTop="1">
      <c r="A539" s="431"/>
      <c r="B539" s="432"/>
      <c r="C539" s="427"/>
      <c r="D539" s="433"/>
      <c r="E539" s="434"/>
      <c r="F539" s="448"/>
      <c r="G539" s="540"/>
      <c r="H539" s="414"/>
      <c r="I539" s="540"/>
      <c r="J539" s="540"/>
      <c r="K539" s="394"/>
      <c r="L539" s="555"/>
      <c r="M539" s="542"/>
      <c r="N539" s="540"/>
      <c r="O539" s="542"/>
      <c r="P539" s="561"/>
      <c r="Q539" s="583"/>
      <c r="R539" s="199"/>
      <c r="S539" s="199"/>
    </row>
    <row r="540" spans="1:19" s="1" customFormat="1" ht="24.75" customHeight="1" thickTop="1">
      <c r="A540" s="391" t="s">
        <v>528</v>
      </c>
      <c r="B540" s="435"/>
      <c r="C540" s="427"/>
      <c r="D540" s="511" t="s">
        <v>422</v>
      </c>
      <c r="E540" s="512" t="s">
        <v>423</v>
      </c>
      <c r="F540" s="511" t="s">
        <v>424</v>
      </c>
      <c r="G540" s="533" t="s">
        <v>425</v>
      </c>
      <c r="H540" s="511" t="s">
        <v>426</v>
      </c>
      <c r="I540" s="534" t="s">
        <v>427</v>
      </c>
      <c r="J540" s="534"/>
      <c r="K540" s="394"/>
      <c r="L540" s="533" t="s">
        <v>688</v>
      </c>
      <c r="M540" s="536"/>
      <c r="N540" s="533" t="s">
        <v>425</v>
      </c>
      <c r="O540" s="536"/>
      <c r="P540" s="533" t="s">
        <v>677</v>
      </c>
      <c r="Q540" s="583"/>
      <c r="R540" s="199"/>
      <c r="S540" s="199"/>
    </row>
    <row r="541" spans="1:19" s="1" customFormat="1" ht="12.75">
      <c r="A541" s="395">
        <v>402010</v>
      </c>
      <c r="B541" s="408" t="s">
        <v>199</v>
      </c>
      <c r="C541" s="397"/>
      <c r="D541" s="436"/>
      <c r="E541" s="436"/>
      <c r="F541" s="418"/>
      <c r="G541" s="537">
        <f aca="true" t="shared" si="74" ref="G541:G547">IF(X=0,(IF(Me=0,Sa,Me*Sa)),(IF(Me=0,Sa*X,Me*X*Sa)))</f>
        <v>0</v>
      </c>
      <c r="H541" s="538">
        <f aca="true" t="shared" si="75" ref="H541:H547">IF(Sum,Sos,0)</f>
        <v>0</v>
      </c>
      <c r="I541" s="539">
        <f aca="true" t="shared" si="76" ref="I541:I547">IF(Prosent&lt;&gt;0,(Sum*Prosent)/100,0)</f>
        <v>0</v>
      </c>
      <c r="J541" s="540"/>
      <c r="K541" s="403"/>
      <c r="L541" s="541">
        <f aca="true" t="shared" si="77" ref="L541:L558">IF(FMVAE&lt;&gt;"",(Sum*mva)-Sum,"")</f>
      </c>
      <c r="M541" s="542"/>
      <c r="N541" s="537">
        <v>0</v>
      </c>
      <c r="O541" s="542"/>
      <c r="P541" s="543">
        <f>BOKFØRT!C541</f>
        <v>0</v>
      </c>
      <c r="Q541" s="583">
        <f aca="true" t="shared" si="78" ref="Q541:Q559">G541+N541+P541</f>
        <v>0</v>
      </c>
      <c r="R541" s="199"/>
      <c r="S541" s="199"/>
    </row>
    <row r="542" spans="1:19" s="1" customFormat="1" ht="12.75">
      <c r="A542" s="395">
        <v>402011</v>
      </c>
      <c r="B542" s="437" t="s">
        <v>201</v>
      </c>
      <c r="C542" s="397"/>
      <c r="D542" s="438"/>
      <c r="E542" s="436"/>
      <c r="F542" s="439">
        <f>IF(D542=0,0,+G541)</f>
        <v>0</v>
      </c>
      <c r="G542" s="544">
        <f t="shared" si="74"/>
        <v>0</v>
      </c>
      <c r="H542" s="538">
        <f t="shared" si="75"/>
        <v>0</v>
      </c>
      <c r="I542" s="539">
        <f t="shared" si="76"/>
        <v>0</v>
      </c>
      <c r="J542" s="540"/>
      <c r="K542" s="403"/>
      <c r="L542" s="541">
        <f t="shared" si="77"/>
      </c>
      <c r="M542" s="542"/>
      <c r="N542" s="544">
        <v>0</v>
      </c>
      <c r="O542" s="542"/>
      <c r="P542" s="545">
        <f>BOKFØRT!C542</f>
        <v>0</v>
      </c>
      <c r="Q542" s="583">
        <f t="shared" si="78"/>
        <v>0</v>
      </c>
      <c r="R542" s="199"/>
      <c r="S542" s="199"/>
    </row>
    <row r="543" spans="1:19" s="1" customFormat="1" ht="12.75">
      <c r="A543" s="395">
        <v>402020</v>
      </c>
      <c r="B543" s="408" t="s">
        <v>202</v>
      </c>
      <c r="C543" s="397"/>
      <c r="D543" s="436"/>
      <c r="E543" s="436"/>
      <c r="F543" s="418"/>
      <c r="G543" s="544">
        <f t="shared" si="74"/>
        <v>0</v>
      </c>
      <c r="H543" s="538">
        <f t="shared" si="75"/>
        <v>0</v>
      </c>
      <c r="I543" s="539">
        <f t="shared" si="76"/>
        <v>0</v>
      </c>
      <c r="J543" s="540"/>
      <c r="K543" s="403"/>
      <c r="L543" s="541">
        <f t="shared" si="77"/>
      </c>
      <c r="M543" s="542"/>
      <c r="N543" s="544">
        <v>0</v>
      </c>
      <c r="O543" s="542"/>
      <c r="P543" s="545">
        <f>BOKFØRT!C543</f>
        <v>0</v>
      </c>
      <c r="Q543" s="583">
        <f t="shared" si="78"/>
        <v>0</v>
      </c>
      <c r="R543" s="199"/>
      <c r="S543" s="199"/>
    </row>
    <row r="544" spans="1:19" s="1" customFormat="1" ht="12.75">
      <c r="A544" s="395">
        <v>402021</v>
      </c>
      <c r="B544" s="437" t="s">
        <v>203</v>
      </c>
      <c r="C544" s="397"/>
      <c r="D544" s="438"/>
      <c r="E544" s="436"/>
      <c r="F544" s="439">
        <f>IF(D544=0,0,+G543)</f>
        <v>0</v>
      </c>
      <c r="G544" s="544">
        <f t="shared" si="74"/>
        <v>0</v>
      </c>
      <c r="H544" s="538">
        <f t="shared" si="75"/>
        <v>0</v>
      </c>
      <c r="I544" s="539">
        <f t="shared" si="76"/>
        <v>0</v>
      </c>
      <c r="J544" s="540"/>
      <c r="K544" s="403"/>
      <c r="L544" s="541">
        <f t="shared" si="77"/>
      </c>
      <c r="M544" s="542"/>
      <c r="N544" s="544">
        <v>0</v>
      </c>
      <c r="O544" s="542"/>
      <c r="P544" s="545">
        <f>BOKFØRT!C544</f>
        <v>0</v>
      </c>
      <c r="Q544" s="583">
        <f t="shared" si="78"/>
        <v>0</v>
      </c>
      <c r="R544" s="199"/>
      <c r="S544" s="199"/>
    </row>
    <row r="545" spans="1:19" s="1" customFormat="1" ht="12.75">
      <c r="A545" s="395">
        <v>402090</v>
      </c>
      <c r="B545" s="437" t="s">
        <v>204</v>
      </c>
      <c r="C545" s="397"/>
      <c r="D545" s="436"/>
      <c r="E545" s="436"/>
      <c r="F545" s="418"/>
      <c r="G545" s="544">
        <f t="shared" si="74"/>
        <v>0</v>
      </c>
      <c r="H545" s="538">
        <f t="shared" si="75"/>
        <v>0</v>
      </c>
      <c r="I545" s="539">
        <f t="shared" si="76"/>
        <v>0</v>
      </c>
      <c r="J545" s="540"/>
      <c r="K545" s="403"/>
      <c r="L545" s="541">
        <f t="shared" si="77"/>
      </c>
      <c r="M545" s="542"/>
      <c r="N545" s="544">
        <v>0</v>
      </c>
      <c r="O545" s="542"/>
      <c r="P545" s="545">
        <f>BOKFØRT!C545</f>
        <v>0</v>
      </c>
      <c r="Q545" s="583">
        <f t="shared" si="78"/>
        <v>0</v>
      </c>
      <c r="R545" s="199"/>
      <c r="S545" s="199"/>
    </row>
    <row r="546" spans="1:19" s="1" customFormat="1" ht="12.75">
      <c r="A546" s="395">
        <v>402091</v>
      </c>
      <c r="B546" s="408" t="s">
        <v>205</v>
      </c>
      <c r="C546" s="397"/>
      <c r="D546" s="438"/>
      <c r="E546" s="436"/>
      <c r="F546" s="439">
        <f>IF(D546=0,0,+G545)</f>
        <v>0</v>
      </c>
      <c r="G546" s="544">
        <f t="shared" si="74"/>
        <v>0</v>
      </c>
      <c r="H546" s="538">
        <f t="shared" si="75"/>
        <v>0</v>
      </c>
      <c r="I546" s="539">
        <f t="shared" si="76"/>
        <v>0</v>
      </c>
      <c r="J546" s="540"/>
      <c r="K546" s="403"/>
      <c r="L546" s="541">
        <f t="shared" si="77"/>
      </c>
      <c r="M546" s="542"/>
      <c r="N546" s="544">
        <v>0</v>
      </c>
      <c r="O546" s="542"/>
      <c r="P546" s="545">
        <f>BOKFØRT!C546</f>
        <v>0</v>
      </c>
      <c r="Q546" s="583">
        <f t="shared" si="78"/>
        <v>0</v>
      </c>
      <c r="R546" s="199"/>
      <c r="S546" s="199"/>
    </row>
    <row r="547" spans="1:19" s="1" customFormat="1" ht="12.75">
      <c r="A547" s="395">
        <v>404092</v>
      </c>
      <c r="B547" s="437" t="s">
        <v>590</v>
      </c>
      <c r="C547" s="397"/>
      <c r="D547" s="436"/>
      <c r="E547" s="436"/>
      <c r="F547" s="418"/>
      <c r="G547" s="544">
        <f t="shared" si="74"/>
        <v>0</v>
      </c>
      <c r="H547" s="538">
        <f t="shared" si="75"/>
        <v>0</v>
      </c>
      <c r="I547" s="539">
        <f t="shared" si="76"/>
        <v>0</v>
      </c>
      <c r="J547" s="540"/>
      <c r="K547" s="403"/>
      <c r="L547" s="541">
        <f t="shared" si="77"/>
      </c>
      <c r="M547" s="542"/>
      <c r="N547" s="544">
        <v>0</v>
      </c>
      <c r="O547" s="542"/>
      <c r="P547" s="545">
        <f>BOKFØRT!C547</f>
        <v>0</v>
      </c>
      <c r="Q547" s="583">
        <f t="shared" si="78"/>
        <v>0</v>
      </c>
      <c r="R547" s="199"/>
      <c r="S547" s="199"/>
    </row>
    <row r="548" spans="1:19" s="1" customFormat="1" ht="12.75">
      <c r="A548" s="395">
        <v>404095</v>
      </c>
      <c r="B548" s="408" t="s">
        <v>554</v>
      </c>
      <c r="C548" s="397"/>
      <c r="D548" s="440"/>
      <c r="E548" s="440"/>
      <c r="F548" s="413"/>
      <c r="G548" s="562">
        <f>SUM(I541:I547)</f>
        <v>0</v>
      </c>
      <c r="H548" s="414"/>
      <c r="I548" s="546" t="s">
        <v>555</v>
      </c>
      <c r="J548" s="546"/>
      <c r="K548" s="573"/>
      <c r="L548" s="541"/>
      <c r="M548" s="542"/>
      <c r="N548" s="562">
        <v>0</v>
      </c>
      <c r="O548" s="542"/>
      <c r="P548" s="545">
        <f>BOKFØRT!C548</f>
        <v>0</v>
      </c>
      <c r="Q548" s="583">
        <f t="shared" si="78"/>
        <v>0</v>
      </c>
      <c r="R548" s="199"/>
      <c r="S548" s="199"/>
    </row>
    <row r="549" spans="1:19" s="1" customFormat="1" ht="12.75">
      <c r="A549" s="395">
        <v>407012</v>
      </c>
      <c r="B549" s="408" t="s">
        <v>206</v>
      </c>
      <c r="C549" s="397"/>
      <c r="D549" s="436"/>
      <c r="E549" s="436"/>
      <c r="F549" s="418"/>
      <c r="G549" s="544">
        <f aca="true" t="shared" si="79" ref="G549:G558">IF(X=0,(IF(Me=0,Sa,Me*Sa)),(IF(Me=0,Sa*X,Me*X*Sa)))</f>
        <v>0</v>
      </c>
      <c r="H549" s="414"/>
      <c r="I549" s="546"/>
      <c r="J549" s="546"/>
      <c r="K549" s="403"/>
      <c r="L549" s="541">
        <f t="shared" si="77"/>
      </c>
      <c r="M549" s="542"/>
      <c r="N549" s="544">
        <v>0</v>
      </c>
      <c r="O549" s="542"/>
      <c r="P549" s="545">
        <f>BOKFØRT!C549</f>
        <v>0</v>
      </c>
      <c r="Q549" s="583">
        <f t="shared" si="78"/>
        <v>0</v>
      </c>
      <c r="R549" s="199"/>
      <c r="S549" s="199"/>
    </row>
    <row r="550" spans="1:19" s="1" customFormat="1" ht="12.75">
      <c r="A550" s="395">
        <v>407017</v>
      </c>
      <c r="B550" s="408" t="s">
        <v>207</v>
      </c>
      <c r="C550" s="397"/>
      <c r="D550" s="436"/>
      <c r="E550" s="436"/>
      <c r="F550" s="418"/>
      <c r="G550" s="544">
        <f t="shared" si="79"/>
        <v>0</v>
      </c>
      <c r="H550" s="414"/>
      <c r="I550" s="546"/>
      <c r="J550" s="546"/>
      <c r="K550" s="403"/>
      <c r="L550" s="541">
        <f t="shared" si="77"/>
      </c>
      <c r="M550" s="542"/>
      <c r="N550" s="544">
        <v>0</v>
      </c>
      <c r="O550" s="542"/>
      <c r="P550" s="545">
        <f>BOKFØRT!C550</f>
        <v>0</v>
      </c>
      <c r="Q550" s="583">
        <f t="shared" si="78"/>
        <v>0</v>
      </c>
      <c r="R550" s="199"/>
      <c r="S550" s="199"/>
    </row>
    <row r="551" spans="1:19" s="1" customFormat="1" ht="12.75">
      <c r="A551" s="395">
        <v>407018</v>
      </c>
      <c r="B551" s="408" t="s">
        <v>767</v>
      </c>
      <c r="C551" s="397"/>
      <c r="D551" s="436"/>
      <c r="E551" s="436"/>
      <c r="F551" s="418"/>
      <c r="G551" s="544">
        <f t="shared" si="79"/>
        <v>0</v>
      </c>
      <c r="H551" s="414"/>
      <c r="I551" s="546"/>
      <c r="J551" s="546"/>
      <c r="K551" s="403"/>
      <c r="L551" s="541">
        <f t="shared" si="77"/>
      </c>
      <c r="M551" s="542"/>
      <c r="N551" s="544">
        <v>0</v>
      </c>
      <c r="O551" s="542"/>
      <c r="P551" s="545">
        <f>BOKFØRT!C551</f>
        <v>0</v>
      </c>
      <c r="Q551" s="583">
        <f>G551+N551+P551</f>
        <v>0</v>
      </c>
      <c r="R551" s="199"/>
      <c r="S551" s="199"/>
    </row>
    <row r="552" spans="1:19" s="1" customFormat="1" ht="12.75">
      <c r="A552" s="395">
        <v>407020</v>
      </c>
      <c r="B552" s="408" t="s">
        <v>208</v>
      </c>
      <c r="C552" s="397"/>
      <c r="D552" s="436"/>
      <c r="E552" s="436"/>
      <c r="F552" s="418"/>
      <c r="G552" s="544">
        <f t="shared" si="79"/>
        <v>0</v>
      </c>
      <c r="H552" s="414"/>
      <c r="I552" s="546"/>
      <c r="J552" s="546"/>
      <c r="K552" s="403"/>
      <c r="L552" s="541">
        <f t="shared" si="77"/>
      </c>
      <c r="M552" s="542"/>
      <c r="N552" s="544">
        <v>0</v>
      </c>
      <c r="O552" s="542"/>
      <c r="P552" s="545">
        <f>BOKFØRT!C552</f>
        <v>0</v>
      </c>
      <c r="Q552" s="583">
        <f t="shared" si="78"/>
        <v>0</v>
      </c>
      <c r="R552" s="199"/>
      <c r="S552" s="199"/>
    </row>
    <row r="553" spans="1:19" s="1" customFormat="1" ht="12.75">
      <c r="A553" s="395">
        <v>407021</v>
      </c>
      <c r="B553" s="408" t="s">
        <v>209</v>
      </c>
      <c r="C553" s="397"/>
      <c r="D553" s="436"/>
      <c r="E553" s="436"/>
      <c r="F553" s="418"/>
      <c r="G553" s="544">
        <f t="shared" si="79"/>
        <v>0</v>
      </c>
      <c r="H553" s="414"/>
      <c r="I553" s="546"/>
      <c r="J553" s="546"/>
      <c r="K553" s="403"/>
      <c r="L553" s="541">
        <f t="shared" si="77"/>
      </c>
      <c r="M553" s="542"/>
      <c r="N553" s="544">
        <v>0</v>
      </c>
      <c r="O553" s="542"/>
      <c r="P553" s="545">
        <f>BOKFØRT!C553</f>
        <v>0</v>
      </c>
      <c r="Q553" s="583">
        <f t="shared" si="78"/>
        <v>0</v>
      </c>
      <c r="R553" s="199"/>
      <c r="S553" s="199"/>
    </row>
    <row r="554" spans="1:19" s="1" customFormat="1" ht="12.75">
      <c r="A554" s="395">
        <v>407030</v>
      </c>
      <c r="B554" s="408" t="s">
        <v>210</v>
      </c>
      <c r="C554" s="397"/>
      <c r="D554" s="436"/>
      <c r="E554" s="436"/>
      <c r="F554" s="418"/>
      <c r="G554" s="544">
        <f t="shared" si="79"/>
        <v>0</v>
      </c>
      <c r="H554" s="414"/>
      <c r="I554" s="546"/>
      <c r="J554" s="546"/>
      <c r="K554" s="403"/>
      <c r="L554" s="541">
        <f t="shared" si="77"/>
      </c>
      <c r="M554" s="542"/>
      <c r="N554" s="544">
        <v>0</v>
      </c>
      <c r="O554" s="542"/>
      <c r="P554" s="545">
        <f>BOKFØRT!C554</f>
        <v>0</v>
      </c>
      <c r="Q554" s="583">
        <f t="shared" si="78"/>
        <v>0</v>
      </c>
      <c r="R554" s="199"/>
      <c r="S554" s="199"/>
    </row>
    <row r="555" spans="1:19" s="1" customFormat="1" ht="12.75">
      <c r="A555" s="395">
        <v>409027</v>
      </c>
      <c r="B555" s="408" t="s">
        <v>15</v>
      </c>
      <c r="C555" s="397"/>
      <c r="D555" s="436"/>
      <c r="E555" s="436"/>
      <c r="F555" s="418"/>
      <c r="G555" s="544">
        <f t="shared" si="79"/>
        <v>0</v>
      </c>
      <c r="H555" s="414"/>
      <c r="I555" s="546"/>
      <c r="J555" s="546"/>
      <c r="K555" s="403"/>
      <c r="L555" s="541">
        <f t="shared" si="77"/>
      </c>
      <c r="M555" s="542"/>
      <c r="N555" s="544">
        <v>0</v>
      </c>
      <c r="O555" s="542"/>
      <c r="P555" s="545">
        <f>BOKFØRT!C555</f>
        <v>0</v>
      </c>
      <c r="Q555" s="583">
        <f t="shared" si="78"/>
        <v>0</v>
      </c>
      <c r="R555" s="199"/>
      <c r="S555" s="199"/>
    </row>
    <row r="556" spans="1:19" s="1" customFormat="1" ht="12.75">
      <c r="A556" s="395">
        <v>409050</v>
      </c>
      <c r="B556" s="437" t="s">
        <v>17</v>
      </c>
      <c r="C556" s="397"/>
      <c r="D556" s="436"/>
      <c r="E556" s="436"/>
      <c r="F556" s="418"/>
      <c r="G556" s="544">
        <f t="shared" si="79"/>
        <v>0</v>
      </c>
      <c r="H556" s="414"/>
      <c r="I556" s="546"/>
      <c r="J556" s="546"/>
      <c r="K556" s="403"/>
      <c r="L556" s="541">
        <f t="shared" si="77"/>
      </c>
      <c r="M556" s="542"/>
      <c r="N556" s="544">
        <v>0</v>
      </c>
      <c r="O556" s="542"/>
      <c r="P556" s="545">
        <f>BOKFØRT!C556</f>
        <v>0</v>
      </c>
      <c r="Q556" s="583">
        <f t="shared" si="78"/>
        <v>0</v>
      </c>
      <c r="R556" s="199"/>
      <c r="S556" s="199"/>
    </row>
    <row r="557" spans="1:19" s="1" customFormat="1" ht="12.75">
      <c r="A557" s="395">
        <v>409064</v>
      </c>
      <c r="B557" s="408" t="s">
        <v>21</v>
      </c>
      <c r="C557" s="397"/>
      <c r="D557" s="436"/>
      <c r="E557" s="436"/>
      <c r="F557" s="418"/>
      <c r="G557" s="544">
        <f t="shared" si="79"/>
        <v>0</v>
      </c>
      <c r="H557" s="414"/>
      <c r="I557" s="546"/>
      <c r="J557" s="546"/>
      <c r="K557" s="403"/>
      <c r="L557" s="541">
        <f t="shared" si="77"/>
      </c>
      <c r="M557" s="542"/>
      <c r="N557" s="544">
        <v>0</v>
      </c>
      <c r="O557" s="542"/>
      <c r="P557" s="545">
        <f>BOKFØRT!C557</f>
        <v>0</v>
      </c>
      <c r="Q557" s="583">
        <f t="shared" si="78"/>
        <v>0</v>
      </c>
      <c r="R557" s="199"/>
      <c r="S557" s="199"/>
    </row>
    <row r="558" spans="1:19" s="1" customFormat="1" ht="12.75">
      <c r="A558" s="395">
        <v>409069</v>
      </c>
      <c r="B558" s="420" t="s">
        <v>564</v>
      </c>
      <c r="C558" s="421" t="s">
        <v>416</v>
      </c>
      <c r="D558" s="422"/>
      <c r="E558" s="422"/>
      <c r="F558" s="423"/>
      <c r="G558" s="548">
        <f t="shared" si="79"/>
        <v>0</v>
      </c>
      <c r="H558" s="414"/>
      <c r="I558" s="540"/>
      <c r="J558" s="540"/>
      <c r="K558" s="403"/>
      <c r="L558" s="541">
        <f t="shared" si="77"/>
      </c>
      <c r="M558" s="542"/>
      <c r="N558" s="548">
        <v>0</v>
      </c>
      <c r="O558" s="542"/>
      <c r="P558" s="550">
        <f>BOKFØRT!C558</f>
        <v>0</v>
      </c>
      <c r="Q558" s="583">
        <f t="shared" si="78"/>
        <v>0</v>
      </c>
      <c r="R558" s="199"/>
      <c r="S558" s="199"/>
    </row>
    <row r="559" spans="1:19" s="1" customFormat="1" ht="13.5" thickBot="1">
      <c r="A559" s="445" t="s">
        <v>401</v>
      </c>
      <c r="B559" s="426"/>
      <c r="C559" s="451"/>
      <c r="D559" s="433"/>
      <c r="E559" s="434"/>
      <c r="F559" s="448" t="s">
        <v>570</v>
      </c>
      <c r="G559" s="558">
        <f>SUM(G541:G558)</f>
        <v>0</v>
      </c>
      <c r="H559" s="414"/>
      <c r="I559" s="555"/>
      <c r="J559" s="555"/>
      <c r="K559" s="394"/>
      <c r="L559" s="558">
        <f>SUM(L541:L558)</f>
        <v>0</v>
      </c>
      <c r="M559" s="542"/>
      <c r="N559" s="558">
        <v>0</v>
      </c>
      <c r="O559" s="542"/>
      <c r="P559" s="559">
        <f>SUM(P541:P558)</f>
        <v>0</v>
      </c>
      <c r="Q559" s="583">
        <f t="shared" si="78"/>
        <v>0</v>
      </c>
      <c r="R559" s="199"/>
      <c r="S559" s="199"/>
    </row>
    <row r="560" spans="1:19" s="1" customFormat="1" ht="0.75" customHeight="1" thickTop="1">
      <c r="A560" s="431"/>
      <c r="B560" s="432"/>
      <c r="C560" s="427"/>
      <c r="D560" s="433"/>
      <c r="E560" s="434"/>
      <c r="F560" s="448"/>
      <c r="G560" s="540"/>
      <c r="H560" s="414"/>
      <c r="I560" s="540"/>
      <c r="J560" s="540"/>
      <c r="K560" s="394"/>
      <c r="L560" s="555"/>
      <c r="M560" s="542"/>
      <c r="N560" s="540"/>
      <c r="O560" s="542"/>
      <c r="P560" s="561"/>
      <c r="Q560" s="583"/>
      <c r="R560" s="199"/>
      <c r="S560" s="199"/>
    </row>
    <row r="561" spans="1:19" s="1" customFormat="1" ht="24.75" customHeight="1" thickTop="1">
      <c r="A561" s="391" t="s">
        <v>529</v>
      </c>
      <c r="B561" s="435"/>
      <c r="C561" s="427"/>
      <c r="D561" s="511" t="s">
        <v>422</v>
      </c>
      <c r="E561" s="512" t="s">
        <v>423</v>
      </c>
      <c r="F561" s="511" t="s">
        <v>424</v>
      </c>
      <c r="G561" s="533" t="s">
        <v>425</v>
      </c>
      <c r="H561" s="511" t="s">
        <v>426</v>
      </c>
      <c r="I561" s="534" t="s">
        <v>427</v>
      </c>
      <c r="J561" s="534"/>
      <c r="K561" s="394"/>
      <c r="L561" s="533" t="s">
        <v>688</v>
      </c>
      <c r="M561" s="536"/>
      <c r="N561" s="533" t="s">
        <v>425</v>
      </c>
      <c r="O561" s="536"/>
      <c r="P561" s="533" t="s">
        <v>677</v>
      </c>
      <c r="Q561" s="583"/>
      <c r="R561" s="199"/>
      <c r="S561" s="199"/>
    </row>
    <row r="562" spans="1:19" s="1" customFormat="1" ht="12.75">
      <c r="A562" s="395">
        <v>412110</v>
      </c>
      <c r="B562" s="408" t="s">
        <v>211</v>
      </c>
      <c r="C562" s="397"/>
      <c r="D562" s="436"/>
      <c r="E562" s="436"/>
      <c r="F562" s="418"/>
      <c r="G562" s="537">
        <f aca="true" t="shared" si="80" ref="G562:G570">IF(X=0,(IF(Me=0,Sa,Me*Sa)),(IF(Me=0,Sa*X,Me*X*Sa)))</f>
        <v>0</v>
      </c>
      <c r="H562" s="538">
        <f aca="true" t="shared" si="81" ref="H562:H570">IF(Sum,Sos,0)</f>
        <v>0</v>
      </c>
      <c r="I562" s="539">
        <f aca="true" t="shared" si="82" ref="I562:I570">IF(Prosent&lt;&gt;0,(Sum*Prosent)/100,0)</f>
        <v>0</v>
      </c>
      <c r="J562" s="540"/>
      <c r="K562" s="403"/>
      <c r="L562" s="541">
        <f aca="true" t="shared" si="83" ref="L562:L582">IF(FMVAE&lt;&gt;"",(Sum*mva)-Sum,"")</f>
      </c>
      <c r="M562" s="542"/>
      <c r="N562" s="537">
        <v>0</v>
      </c>
      <c r="O562" s="542"/>
      <c r="P562" s="543">
        <f>BOKFØRT!C562</f>
        <v>0</v>
      </c>
      <c r="Q562" s="583">
        <f aca="true" t="shared" si="84" ref="Q562:Q583">G562+N562+P562</f>
        <v>0</v>
      </c>
      <c r="R562" s="199"/>
      <c r="S562" s="199"/>
    </row>
    <row r="563" spans="1:19" s="1" customFormat="1" ht="12.75">
      <c r="A563" s="395">
        <v>412111</v>
      </c>
      <c r="B563" s="437" t="s">
        <v>212</v>
      </c>
      <c r="C563" s="397"/>
      <c r="D563" s="438"/>
      <c r="E563" s="436"/>
      <c r="F563" s="439">
        <f>IF(D563=0,0,+G562)</f>
        <v>0</v>
      </c>
      <c r="G563" s="544">
        <f t="shared" si="80"/>
        <v>0</v>
      </c>
      <c r="H563" s="538">
        <f t="shared" si="81"/>
        <v>0</v>
      </c>
      <c r="I563" s="539">
        <f t="shared" si="82"/>
        <v>0</v>
      </c>
      <c r="J563" s="540"/>
      <c r="K563" s="403"/>
      <c r="L563" s="541">
        <f t="shared" si="83"/>
      </c>
      <c r="M563" s="542"/>
      <c r="N563" s="544">
        <v>0</v>
      </c>
      <c r="O563" s="542"/>
      <c r="P563" s="545">
        <f>BOKFØRT!C563</f>
        <v>0</v>
      </c>
      <c r="Q563" s="583">
        <f t="shared" si="84"/>
        <v>0</v>
      </c>
      <c r="R563" s="199"/>
      <c r="S563" s="199"/>
    </row>
    <row r="564" spans="1:19" s="1" customFormat="1" ht="12.75">
      <c r="A564" s="395">
        <v>412112</v>
      </c>
      <c r="B564" s="408" t="s">
        <v>213</v>
      </c>
      <c r="C564" s="397"/>
      <c r="D564" s="436"/>
      <c r="E564" s="436"/>
      <c r="F564" s="418"/>
      <c r="G564" s="544">
        <f t="shared" si="80"/>
        <v>0</v>
      </c>
      <c r="H564" s="538">
        <f t="shared" si="81"/>
        <v>0</v>
      </c>
      <c r="I564" s="539">
        <f t="shared" si="82"/>
        <v>0</v>
      </c>
      <c r="J564" s="540"/>
      <c r="K564" s="403"/>
      <c r="L564" s="541">
        <f t="shared" si="83"/>
      </c>
      <c r="M564" s="542"/>
      <c r="N564" s="544">
        <v>0</v>
      </c>
      <c r="O564" s="542"/>
      <c r="P564" s="545">
        <f>BOKFØRT!C564</f>
        <v>0</v>
      </c>
      <c r="Q564" s="583">
        <f t="shared" si="84"/>
        <v>0</v>
      </c>
      <c r="R564" s="199"/>
      <c r="S564" s="199"/>
    </row>
    <row r="565" spans="1:19" s="1" customFormat="1" ht="12.75">
      <c r="A565" s="395">
        <v>412113</v>
      </c>
      <c r="B565" s="437" t="s">
        <v>214</v>
      </c>
      <c r="C565" s="397"/>
      <c r="D565" s="438"/>
      <c r="E565" s="436"/>
      <c r="F565" s="439">
        <f>IF(D565=0,0,+G564)</f>
        <v>0</v>
      </c>
      <c r="G565" s="544">
        <f t="shared" si="80"/>
        <v>0</v>
      </c>
      <c r="H565" s="538">
        <f t="shared" si="81"/>
        <v>0</v>
      </c>
      <c r="I565" s="539">
        <f t="shared" si="82"/>
        <v>0</v>
      </c>
      <c r="J565" s="540"/>
      <c r="K565" s="403"/>
      <c r="L565" s="541">
        <f t="shared" si="83"/>
      </c>
      <c r="M565" s="542"/>
      <c r="N565" s="544">
        <v>0</v>
      </c>
      <c r="O565" s="542"/>
      <c r="P565" s="545">
        <f>BOKFØRT!C565</f>
        <v>0</v>
      </c>
      <c r="Q565" s="583">
        <f t="shared" si="84"/>
        <v>0</v>
      </c>
      <c r="R565" s="199"/>
      <c r="S565" s="199"/>
    </row>
    <row r="566" spans="1:19" s="1" customFormat="1" ht="12.75">
      <c r="A566" s="395">
        <v>412114</v>
      </c>
      <c r="B566" s="408" t="s">
        <v>215</v>
      </c>
      <c r="C566" s="397"/>
      <c r="D566" s="436"/>
      <c r="E566" s="436"/>
      <c r="F566" s="418"/>
      <c r="G566" s="544">
        <f t="shared" si="80"/>
        <v>0</v>
      </c>
      <c r="H566" s="538">
        <f t="shared" si="81"/>
        <v>0</v>
      </c>
      <c r="I566" s="539">
        <f t="shared" si="82"/>
        <v>0</v>
      </c>
      <c r="J566" s="540"/>
      <c r="K566" s="403"/>
      <c r="L566" s="541">
        <f t="shared" si="83"/>
      </c>
      <c r="M566" s="542"/>
      <c r="N566" s="544">
        <v>0</v>
      </c>
      <c r="O566" s="542"/>
      <c r="P566" s="545">
        <f>BOKFØRT!C566</f>
        <v>0</v>
      </c>
      <c r="Q566" s="583">
        <f t="shared" si="84"/>
        <v>0</v>
      </c>
      <c r="R566" s="199"/>
      <c r="S566" s="199"/>
    </row>
    <row r="567" spans="1:19" s="1" customFormat="1" ht="12.75">
      <c r="A567" s="395">
        <v>412115</v>
      </c>
      <c r="B567" s="437" t="s">
        <v>216</v>
      </c>
      <c r="C567" s="397"/>
      <c r="D567" s="438"/>
      <c r="E567" s="436"/>
      <c r="F567" s="439">
        <f>IF(D567=0,0,+G566)</f>
        <v>0</v>
      </c>
      <c r="G567" s="544">
        <f t="shared" si="80"/>
        <v>0</v>
      </c>
      <c r="H567" s="538">
        <f t="shared" si="81"/>
        <v>0</v>
      </c>
      <c r="I567" s="539">
        <f t="shared" si="82"/>
        <v>0</v>
      </c>
      <c r="J567" s="540"/>
      <c r="K567" s="403"/>
      <c r="L567" s="541">
        <f t="shared" si="83"/>
      </c>
      <c r="M567" s="542"/>
      <c r="N567" s="544">
        <v>0</v>
      </c>
      <c r="O567" s="542"/>
      <c r="P567" s="545">
        <f>BOKFØRT!C567</f>
        <v>0</v>
      </c>
      <c r="Q567" s="583">
        <f t="shared" si="84"/>
        <v>0</v>
      </c>
      <c r="R567" s="199"/>
      <c r="S567" s="199"/>
    </row>
    <row r="568" spans="1:19" s="1" customFormat="1" ht="12.75">
      <c r="A568" s="395">
        <v>412190</v>
      </c>
      <c r="B568" s="408" t="s">
        <v>217</v>
      </c>
      <c r="C568" s="397"/>
      <c r="D568" s="436"/>
      <c r="E568" s="436"/>
      <c r="F568" s="418"/>
      <c r="G568" s="544">
        <f t="shared" si="80"/>
        <v>0</v>
      </c>
      <c r="H568" s="538">
        <f t="shared" si="81"/>
        <v>0</v>
      </c>
      <c r="I568" s="539">
        <f t="shared" si="82"/>
        <v>0</v>
      </c>
      <c r="J568" s="540"/>
      <c r="K568" s="403"/>
      <c r="L568" s="541">
        <f t="shared" si="83"/>
      </c>
      <c r="M568" s="542"/>
      <c r="N568" s="544">
        <v>0</v>
      </c>
      <c r="O568" s="542"/>
      <c r="P568" s="545">
        <f>BOKFØRT!C568</f>
        <v>0</v>
      </c>
      <c r="Q568" s="583">
        <f t="shared" si="84"/>
        <v>0</v>
      </c>
      <c r="R568" s="199"/>
      <c r="S568" s="199"/>
    </row>
    <row r="569" spans="1:19" s="1" customFormat="1" ht="12.75">
      <c r="A569" s="395">
        <v>412191</v>
      </c>
      <c r="B569" s="408" t="s">
        <v>218</v>
      </c>
      <c r="C569" s="397"/>
      <c r="D569" s="453"/>
      <c r="E569" s="436"/>
      <c r="F569" s="439">
        <f>IF(D569=0,0,+G568)</f>
        <v>0</v>
      </c>
      <c r="G569" s="544">
        <f t="shared" si="80"/>
        <v>0</v>
      </c>
      <c r="H569" s="538">
        <f t="shared" si="81"/>
        <v>0</v>
      </c>
      <c r="I569" s="539">
        <f t="shared" si="82"/>
        <v>0</v>
      </c>
      <c r="J569" s="540"/>
      <c r="K569" s="403"/>
      <c r="L569" s="541">
        <f t="shared" si="83"/>
      </c>
      <c r="M569" s="542"/>
      <c r="N569" s="544">
        <v>0</v>
      </c>
      <c r="O569" s="542"/>
      <c r="P569" s="545">
        <f>BOKFØRT!C569</f>
        <v>0</v>
      </c>
      <c r="Q569" s="583">
        <f t="shared" si="84"/>
        <v>0</v>
      </c>
      <c r="R569" s="199"/>
      <c r="S569" s="199"/>
    </row>
    <row r="570" spans="1:19" s="1" customFormat="1" ht="12.75">
      <c r="A570" s="395">
        <v>414092</v>
      </c>
      <c r="B570" s="408" t="s">
        <v>590</v>
      </c>
      <c r="C570" s="397"/>
      <c r="D570" s="436"/>
      <c r="E570" s="436"/>
      <c r="F570" s="418"/>
      <c r="G570" s="544">
        <f t="shared" si="80"/>
        <v>0</v>
      </c>
      <c r="H570" s="538">
        <f t="shared" si="81"/>
        <v>0</v>
      </c>
      <c r="I570" s="539">
        <f t="shared" si="82"/>
        <v>0</v>
      </c>
      <c r="J570" s="540"/>
      <c r="K570" s="403"/>
      <c r="L570" s="541">
        <f t="shared" si="83"/>
      </c>
      <c r="M570" s="542"/>
      <c r="N570" s="544">
        <v>0</v>
      </c>
      <c r="O570" s="542"/>
      <c r="P570" s="545">
        <f>BOKFØRT!C570</f>
        <v>0</v>
      </c>
      <c r="Q570" s="583">
        <f t="shared" si="84"/>
        <v>0</v>
      </c>
      <c r="R570" s="199"/>
      <c r="S570" s="199"/>
    </row>
    <row r="571" spans="1:19" s="1" customFormat="1" ht="12.75">
      <c r="A571" s="395">
        <v>414095</v>
      </c>
      <c r="B571" s="408" t="s">
        <v>554</v>
      </c>
      <c r="C571" s="397"/>
      <c r="D571" s="440"/>
      <c r="E571" s="440"/>
      <c r="F571" s="413"/>
      <c r="G571" s="562">
        <f>SUM(I562:I570)</f>
        <v>0</v>
      </c>
      <c r="H571" s="402"/>
      <c r="I571" s="546" t="s">
        <v>555</v>
      </c>
      <c r="J571" s="546"/>
      <c r="K571" s="573"/>
      <c r="L571" s="541"/>
      <c r="M571" s="542"/>
      <c r="N571" s="562">
        <v>0</v>
      </c>
      <c r="O571" s="542"/>
      <c r="P571" s="545">
        <f>BOKFØRT!C571</f>
        <v>0</v>
      </c>
      <c r="Q571" s="583">
        <f t="shared" si="84"/>
        <v>0</v>
      </c>
      <c r="R571" s="199"/>
      <c r="S571" s="199"/>
    </row>
    <row r="572" spans="1:19" s="1" customFormat="1" ht="12.75">
      <c r="A572" s="395">
        <v>417110</v>
      </c>
      <c r="B572" s="408" t="s">
        <v>220</v>
      </c>
      <c r="C572" s="397"/>
      <c r="D572" s="436"/>
      <c r="E572" s="436"/>
      <c r="F572" s="418"/>
      <c r="G572" s="544">
        <f aca="true" t="shared" si="85" ref="G572:G582">IF(X=0,(IF(Me=0,Sa,Me*Sa)),(IF(Me=0,Sa*X,Me*X*Sa)))</f>
        <v>0</v>
      </c>
      <c r="H572" s="415"/>
      <c r="I572" s="540"/>
      <c r="J572" s="540"/>
      <c r="K572" s="403"/>
      <c r="L572" s="541">
        <f t="shared" si="83"/>
      </c>
      <c r="M572" s="542"/>
      <c r="N572" s="544">
        <v>0</v>
      </c>
      <c r="O572" s="542"/>
      <c r="P572" s="545">
        <f>BOKFØRT!C572</f>
        <v>0</v>
      </c>
      <c r="Q572" s="583">
        <f t="shared" si="84"/>
        <v>0</v>
      </c>
      <c r="R572" s="199"/>
      <c r="S572" s="199"/>
    </row>
    <row r="573" spans="1:19" s="1" customFormat="1" ht="12.75">
      <c r="A573" s="395">
        <v>417111</v>
      </c>
      <c r="B573" s="408" t="s">
        <v>221</v>
      </c>
      <c r="C573" s="397"/>
      <c r="D573" s="436"/>
      <c r="E573" s="436"/>
      <c r="F573" s="418"/>
      <c r="G573" s="544">
        <f t="shared" si="85"/>
        <v>0</v>
      </c>
      <c r="H573" s="415"/>
      <c r="I573" s="540"/>
      <c r="J573" s="540"/>
      <c r="K573" s="403"/>
      <c r="L573" s="541">
        <f t="shared" si="83"/>
      </c>
      <c r="M573" s="542"/>
      <c r="N573" s="544">
        <v>0</v>
      </c>
      <c r="O573" s="542"/>
      <c r="P573" s="545">
        <f>BOKFØRT!C573</f>
        <v>0</v>
      </c>
      <c r="Q573" s="583">
        <f t="shared" si="84"/>
        <v>0</v>
      </c>
      <c r="R573" s="199"/>
      <c r="S573" s="199"/>
    </row>
    <row r="574" spans="1:19" s="1" customFormat="1" ht="12.75">
      <c r="A574" s="395">
        <v>417112</v>
      </c>
      <c r="B574" s="437" t="s">
        <v>222</v>
      </c>
      <c r="C574" s="397"/>
      <c r="D574" s="436"/>
      <c r="E574" s="436"/>
      <c r="F574" s="418"/>
      <c r="G574" s="544">
        <f t="shared" si="85"/>
        <v>0</v>
      </c>
      <c r="H574" s="415"/>
      <c r="I574" s="540"/>
      <c r="J574" s="540"/>
      <c r="K574" s="403"/>
      <c r="L574" s="541">
        <f t="shared" si="83"/>
      </c>
      <c r="M574" s="542"/>
      <c r="N574" s="544">
        <v>0</v>
      </c>
      <c r="O574" s="542"/>
      <c r="P574" s="545">
        <f>BOKFØRT!C574</f>
        <v>0</v>
      </c>
      <c r="Q574" s="583">
        <f t="shared" si="84"/>
        <v>0</v>
      </c>
      <c r="R574" s="199"/>
      <c r="S574" s="199"/>
    </row>
    <row r="575" spans="1:19" s="1" customFormat="1" ht="12.75">
      <c r="A575" s="395">
        <v>417113</v>
      </c>
      <c r="B575" s="408" t="s">
        <v>223</v>
      </c>
      <c r="C575" s="397"/>
      <c r="D575" s="436"/>
      <c r="E575" s="436"/>
      <c r="F575" s="418"/>
      <c r="G575" s="544">
        <f t="shared" si="85"/>
        <v>0</v>
      </c>
      <c r="H575" s="415"/>
      <c r="I575" s="540"/>
      <c r="J575" s="540"/>
      <c r="K575" s="403"/>
      <c r="L575" s="541">
        <f t="shared" si="83"/>
      </c>
      <c r="M575" s="542"/>
      <c r="N575" s="544">
        <v>0</v>
      </c>
      <c r="O575" s="542"/>
      <c r="P575" s="545">
        <f>BOKFØRT!C575</f>
        <v>0</v>
      </c>
      <c r="Q575" s="583">
        <f t="shared" si="84"/>
        <v>0</v>
      </c>
      <c r="R575" s="199"/>
      <c r="S575" s="199"/>
    </row>
    <row r="576" spans="1:19" s="1" customFormat="1" ht="12.75">
      <c r="A576" s="395">
        <v>417120</v>
      </c>
      <c r="B576" s="437" t="s">
        <v>224</v>
      </c>
      <c r="C576" s="397"/>
      <c r="D576" s="436"/>
      <c r="E576" s="436"/>
      <c r="F576" s="418"/>
      <c r="G576" s="544">
        <f t="shared" si="85"/>
        <v>0</v>
      </c>
      <c r="H576" s="415"/>
      <c r="I576" s="540"/>
      <c r="J576" s="540"/>
      <c r="K576" s="403"/>
      <c r="L576" s="541">
        <f t="shared" si="83"/>
      </c>
      <c r="M576" s="542"/>
      <c r="N576" s="544">
        <v>0</v>
      </c>
      <c r="O576" s="542"/>
      <c r="P576" s="545">
        <f>BOKFØRT!C576</f>
        <v>0</v>
      </c>
      <c r="Q576" s="583">
        <f t="shared" si="84"/>
        <v>0</v>
      </c>
      <c r="R576" s="199"/>
      <c r="S576" s="199"/>
    </row>
    <row r="577" spans="1:19" s="1" customFormat="1" ht="12.75">
      <c r="A577" s="395">
        <v>417121</v>
      </c>
      <c r="B577" s="408" t="s">
        <v>225</v>
      </c>
      <c r="C577" s="397"/>
      <c r="D577" s="436"/>
      <c r="E577" s="436"/>
      <c r="F577" s="418"/>
      <c r="G577" s="544">
        <f t="shared" si="85"/>
        <v>0</v>
      </c>
      <c r="H577" s="415"/>
      <c r="I577" s="540"/>
      <c r="J577" s="540"/>
      <c r="K577" s="403"/>
      <c r="L577" s="541">
        <f t="shared" si="83"/>
      </c>
      <c r="M577" s="542"/>
      <c r="N577" s="544">
        <v>0</v>
      </c>
      <c r="O577" s="542"/>
      <c r="P577" s="545">
        <f>BOKFØRT!C577</f>
        <v>0</v>
      </c>
      <c r="Q577" s="583">
        <f t="shared" si="84"/>
        <v>0</v>
      </c>
      <c r="R577" s="199"/>
      <c r="S577" s="199"/>
    </row>
    <row r="578" spans="1:19" s="1" customFormat="1" ht="12.75">
      <c r="A578" s="395">
        <v>417127</v>
      </c>
      <c r="B578" s="437" t="s">
        <v>226</v>
      </c>
      <c r="C578" s="397"/>
      <c r="D578" s="436"/>
      <c r="E578" s="436"/>
      <c r="F578" s="418"/>
      <c r="G578" s="544">
        <f t="shared" si="85"/>
        <v>0</v>
      </c>
      <c r="H578" s="415"/>
      <c r="I578" s="540"/>
      <c r="J578" s="540"/>
      <c r="K578" s="403"/>
      <c r="L578" s="541">
        <f t="shared" si="83"/>
      </c>
      <c r="M578" s="542"/>
      <c r="N578" s="544">
        <v>0</v>
      </c>
      <c r="O578" s="542"/>
      <c r="P578" s="545">
        <f>BOKFØRT!C578</f>
        <v>0</v>
      </c>
      <c r="Q578" s="583">
        <f t="shared" si="84"/>
        <v>0</v>
      </c>
      <c r="R578" s="199"/>
      <c r="S578" s="199"/>
    </row>
    <row r="579" spans="1:19" s="1" customFormat="1" ht="12.75">
      <c r="A579" s="395">
        <v>417130</v>
      </c>
      <c r="B579" s="408" t="s">
        <v>227</v>
      </c>
      <c r="C579" s="397"/>
      <c r="D579" s="436"/>
      <c r="E579" s="436"/>
      <c r="F579" s="418"/>
      <c r="G579" s="544">
        <f t="shared" si="85"/>
        <v>0</v>
      </c>
      <c r="H579" s="415"/>
      <c r="I579" s="540"/>
      <c r="J579" s="540"/>
      <c r="K579" s="403"/>
      <c r="L579" s="541">
        <f t="shared" si="83"/>
      </c>
      <c r="M579" s="542"/>
      <c r="N579" s="544">
        <v>0</v>
      </c>
      <c r="O579" s="542"/>
      <c r="P579" s="545">
        <f>BOKFØRT!C579</f>
        <v>0</v>
      </c>
      <c r="Q579" s="583">
        <f t="shared" si="84"/>
        <v>0</v>
      </c>
      <c r="R579" s="199"/>
      <c r="S579" s="199"/>
    </row>
    <row r="580" spans="1:19" s="1" customFormat="1" ht="12.75">
      <c r="A580" s="395">
        <v>419027</v>
      </c>
      <c r="B580" s="437" t="s">
        <v>15</v>
      </c>
      <c r="C580" s="397"/>
      <c r="D580" s="436"/>
      <c r="E580" s="436"/>
      <c r="F580" s="418"/>
      <c r="G580" s="544">
        <f t="shared" si="85"/>
        <v>0</v>
      </c>
      <c r="H580" s="415"/>
      <c r="I580" s="540"/>
      <c r="J580" s="540"/>
      <c r="K580" s="403"/>
      <c r="L580" s="541">
        <f t="shared" si="83"/>
      </c>
      <c r="M580" s="542"/>
      <c r="N580" s="544">
        <v>0</v>
      </c>
      <c r="O580" s="542"/>
      <c r="P580" s="545">
        <f>BOKFØRT!C580</f>
        <v>0</v>
      </c>
      <c r="Q580" s="583">
        <f t="shared" si="84"/>
        <v>0</v>
      </c>
      <c r="R580" s="199"/>
      <c r="S580" s="199"/>
    </row>
    <row r="581" spans="1:19" s="1" customFormat="1" ht="12.75">
      <c r="A581" s="395">
        <v>419064</v>
      </c>
      <c r="B581" s="408" t="s">
        <v>21</v>
      </c>
      <c r="C581" s="397"/>
      <c r="D581" s="436"/>
      <c r="E581" s="436"/>
      <c r="F581" s="418"/>
      <c r="G581" s="544">
        <f t="shared" si="85"/>
        <v>0</v>
      </c>
      <c r="H581" s="415"/>
      <c r="I581" s="540"/>
      <c r="J581" s="540"/>
      <c r="K581" s="403"/>
      <c r="L581" s="541">
        <f t="shared" si="83"/>
      </c>
      <c r="M581" s="542"/>
      <c r="N581" s="544">
        <v>0</v>
      </c>
      <c r="O581" s="542"/>
      <c r="P581" s="545">
        <f>BOKFØRT!C581</f>
        <v>0</v>
      </c>
      <c r="Q581" s="583">
        <f t="shared" si="84"/>
        <v>0</v>
      </c>
      <c r="R581" s="199"/>
      <c r="S581" s="199"/>
    </row>
    <row r="582" spans="1:19" s="1" customFormat="1" ht="12.75">
      <c r="A582" s="395">
        <v>419069</v>
      </c>
      <c r="B582" s="420" t="s">
        <v>564</v>
      </c>
      <c r="C582" s="421" t="s">
        <v>416</v>
      </c>
      <c r="D582" s="422"/>
      <c r="E582" s="422"/>
      <c r="F582" s="423"/>
      <c r="G582" s="548">
        <f t="shared" si="85"/>
        <v>0</v>
      </c>
      <c r="H582" s="414"/>
      <c r="I582" s="540"/>
      <c r="J582" s="540"/>
      <c r="K582" s="403"/>
      <c r="L582" s="541">
        <f t="shared" si="83"/>
      </c>
      <c r="M582" s="542"/>
      <c r="N582" s="548">
        <v>0</v>
      </c>
      <c r="O582" s="542"/>
      <c r="P582" s="550">
        <f>BOKFØRT!C582</f>
        <v>0</v>
      </c>
      <c r="Q582" s="583">
        <f t="shared" si="84"/>
        <v>0</v>
      </c>
      <c r="R582" s="199"/>
      <c r="S582" s="199"/>
    </row>
    <row r="583" spans="1:19" s="1" customFormat="1" ht="13.5" thickBot="1">
      <c r="A583" s="445" t="s">
        <v>401</v>
      </c>
      <c r="B583" s="426"/>
      <c r="C583" s="451"/>
      <c r="D583" s="433"/>
      <c r="E583" s="434"/>
      <c r="F583" s="448" t="s">
        <v>570</v>
      </c>
      <c r="G583" s="558">
        <f>SUM(G562:G582)</f>
        <v>0</v>
      </c>
      <c r="H583" s="414"/>
      <c r="I583" s="555"/>
      <c r="J583" s="555"/>
      <c r="K583" s="394"/>
      <c r="L583" s="558">
        <f>SUM(L562:L582)</f>
        <v>0</v>
      </c>
      <c r="M583" s="542"/>
      <c r="N583" s="558">
        <v>0</v>
      </c>
      <c r="O583" s="542"/>
      <c r="P583" s="559">
        <f>SUM(P562:P582)</f>
        <v>0</v>
      </c>
      <c r="Q583" s="583">
        <f t="shared" si="84"/>
        <v>0</v>
      </c>
      <c r="R583" s="199"/>
      <c r="S583" s="199"/>
    </row>
    <row r="584" spans="1:19" s="1" customFormat="1" ht="0.75" customHeight="1" thickTop="1">
      <c r="A584" s="431"/>
      <c r="B584" s="432"/>
      <c r="C584" s="427"/>
      <c r="D584" s="433"/>
      <c r="E584" s="434"/>
      <c r="F584" s="433"/>
      <c r="G584" s="555"/>
      <c r="H584" s="414"/>
      <c r="I584" s="555"/>
      <c r="J584" s="555"/>
      <c r="K584" s="394"/>
      <c r="L584" s="555"/>
      <c r="M584" s="542"/>
      <c r="N584" s="555"/>
      <c r="O584" s="542"/>
      <c r="P584" s="565"/>
      <c r="Q584" s="583"/>
      <c r="R584" s="199"/>
      <c r="S584" s="199"/>
    </row>
    <row r="585" spans="1:19" s="1" customFormat="1" ht="24.75" customHeight="1" thickTop="1">
      <c r="A585" s="391" t="s">
        <v>530</v>
      </c>
      <c r="B585" s="435"/>
      <c r="C585" s="427"/>
      <c r="D585" s="511" t="s">
        <v>422</v>
      </c>
      <c r="E585" s="512" t="s">
        <v>423</v>
      </c>
      <c r="F585" s="511" t="s">
        <v>424</v>
      </c>
      <c r="G585" s="533" t="s">
        <v>425</v>
      </c>
      <c r="H585" s="511" t="s">
        <v>426</v>
      </c>
      <c r="I585" s="534" t="s">
        <v>427</v>
      </c>
      <c r="J585" s="534"/>
      <c r="K585" s="394"/>
      <c r="L585" s="533" t="s">
        <v>688</v>
      </c>
      <c r="M585" s="536"/>
      <c r="N585" s="533" t="s">
        <v>425</v>
      </c>
      <c r="O585" s="536"/>
      <c r="P585" s="533" t="s">
        <v>677</v>
      </c>
      <c r="Q585" s="583"/>
      <c r="R585" s="199"/>
      <c r="S585" s="199"/>
    </row>
    <row r="586" spans="1:19" s="1" customFormat="1" ht="12.75">
      <c r="A586" s="395">
        <v>422201</v>
      </c>
      <c r="B586" s="408" t="s">
        <v>228</v>
      </c>
      <c r="C586" s="397"/>
      <c r="D586" s="453"/>
      <c r="E586" s="436"/>
      <c r="F586" s="418"/>
      <c r="G586" s="537">
        <f aca="true" t="shared" si="86" ref="G586:G638">IF(X=0,(IF(Me=0,Sa,Me*Sa)),(IF(Me=0,Sa*X,Me*X*Sa)))</f>
        <v>0</v>
      </c>
      <c r="H586" s="538">
        <f aca="true" t="shared" si="87" ref="H586:H638">IF(Sum,Sos,0)</f>
        <v>0</v>
      </c>
      <c r="I586" s="539">
        <f aca="true" t="shared" si="88" ref="I586:I638">IF(Prosent&lt;&gt;0,(Sum*Prosent)/100,0)</f>
        <v>0</v>
      </c>
      <c r="J586" s="540"/>
      <c r="K586" s="403"/>
      <c r="L586" s="541">
        <f aca="true" t="shared" si="89" ref="L586:L640">IF(FMVAE&lt;&gt;"",(Sum*mva)-Sum,"")</f>
      </c>
      <c r="M586" s="542"/>
      <c r="N586" s="537">
        <v>0</v>
      </c>
      <c r="O586" s="542"/>
      <c r="P586" s="543">
        <f>BOKFØRT!C586</f>
        <v>0</v>
      </c>
      <c r="Q586" s="583">
        <f aca="true" t="shared" si="90" ref="Q586:Q641">G586+N586+P586</f>
        <v>0</v>
      </c>
      <c r="R586" s="199"/>
      <c r="S586" s="199"/>
    </row>
    <row r="587" spans="1:19" s="1" customFormat="1" ht="12.75">
      <c r="A587" s="395">
        <v>422202</v>
      </c>
      <c r="B587" s="408" t="s">
        <v>229</v>
      </c>
      <c r="C587" s="397"/>
      <c r="D587" s="453"/>
      <c r="E587" s="436"/>
      <c r="F587" s="418"/>
      <c r="G587" s="544">
        <f t="shared" si="86"/>
        <v>0</v>
      </c>
      <c r="H587" s="538">
        <f t="shared" si="87"/>
        <v>0</v>
      </c>
      <c r="I587" s="539">
        <f t="shared" si="88"/>
        <v>0</v>
      </c>
      <c r="J587" s="540"/>
      <c r="K587" s="403"/>
      <c r="L587" s="541">
        <f t="shared" si="89"/>
      </c>
      <c r="M587" s="542"/>
      <c r="N587" s="544">
        <v>0</v>
      </c>
      <c r="O587" s="542"/>
      <c r="P587" s="545">
        <f>BOKFØRT!C587</f>
        <v>0</v>
      </c>
      <c r="Q587" s="583">
        <f t="shared" si="90"/>
        <v>0</v>
      </c>
      <c r="R587" s="199"/>
      <c r="S587" s="199"/>
    </row>
    <row r="588" spans="1:19" s="1" customFormat="1" ht="12.75">
      <c r="A588" s="395">
        <v>422203</v>
      </c>
      <c r="B588" s="408" t="s">
        <v>230</v>
      </c>
      <c r="C588" s="397"/>
      <c r="D588" s="453"/>
      <c r="E588" s="436"/>
      <c r="F588" s="418"/>
      <c r="G588" s="544">
        <f t="shared" si="86"/>
        <v>0</v>
      </c>
      <c r="H588" s="538">
        <f t="shared" si="87"/>
        <v>0</v>
      </c>
      <c r="I588" s="539">
        <f t="shared" si="88"/>
        <v>0</v>
      </c>
      <c r="J588" s="540"/>
      <c r="K588" s="403"/>
      <c r="L588" s="541">
        <f t="shared" si="89"/>
      </c>
      <c r="M588" s="542"/>
      <c r="N588" s="544">
        <v>0</v>
      </c>
      <c r="O588" s="542"/>
      <c r="P588" s="545">
        <f>BOKFØRT!C588</f>
        <v>0</v>
      </c>
      <c r="Q588" s="583">
        <f t="shared" si="90"/>
        <v>0</v>
      </c>
      <c r="R588" s="199"/>
      <c r="S588" s="199"/>
    </row>
    <row r="589" spans="1:19" s="1" customFormat="1" ht="12.75">
      <c r="A589" s="395">
        <v>422204</v>
      </c>
      <c r="B589" s="408" t="s">
        <v>231</v>
      </c>
      <c r="C589" s="397"/>
      <c r="D589" s="453"/>
      <c r="E589" s="436"/>
      <c r="F589" s="418"/>
      <c r="G589" s="544">
        <f t="shared" si="86"/>
        <v>0</v>
      </c>
      <c r="H589" s="538">
        <f t="shared" si="87"/>
        <v>0</v>
      </c>
      <c r="I589" s="539">
        <f t="shared" si="88"/>
        <v>0</v>
      </c>
      <c r="J589" s="540"/>
      <c r="K589" s="403"/>
      <c r="L589" s="541">
        <f t="shared" si="89"/>
      </c>
      <c r="M589" s="542"/>
      <c r="N589" s="544">
        <v>0</v>
      </c>
      <c r="O589" s="542"/>
      <c r="P589" s="545">
        <f>BOKFØRT!C589</f>
        <v>0</v>
      </c>
      <c r="Q589" s="583">
        <f t="shared" si="90"/>
        <v>0</v>
      </c>
      <c r="R589" s="199"/>
      <c r="S589" s="199"/>
    </row>
    <row r="590" spans="1:19" s="1" customFormat="1" ht="12.75">
      <c r="A590" s="395">
        <v>422205</v>
      </c>
      <c r="B590" s="408" t="s">
        <v>232</v>
      </c>
      <c r="C590" s="397"/>
      <c r="D590" s="453"/>
      <c r="E590" s="436"/>
      <c r="F590" s="418"/>
      <c r="G590" s="544">
        <f t="shared" si="86"/>
        <v>0</v>
      </c>
      <c r="H590" s="538">
        <f t="shared" si="87"/>
        <v>0</v>
      </c>
      <c r="I590" s="539">
        <f t="shared" si="88"/>
        <v>0</v>
      </c>
      <c r="J590" s="540"/>
      <c r="K590" s="403"/>
      <c r="L590" s="541">
        <f t="shared" si="89"/>
      </c>
      <c r="M590" s="542"/>
      <c r="N590" s="544">
        <v>0</v>
      </c>
      <c r="O590" s="542"/>
      <c r="P590" s="545">
        <f>BOKFØRT!C590</f>
        <v>0</v>
      </c>
      <c r="Q590" s="583">
        <f t="shared" si="90"/>
        <v>0</v>
      </c>
      <c r="R590" s="199"/>
      <c r="S590" s="199"/>
    </row>
    <row r="591" spans="1:19" s="1" customFormat="1" ht="12.75">
      <c r="A591" s="395">
        <v>422206</v>
      </c>
      <c r="B591" s="408" t="s">
        <v>233</v>
      </c>
      <c r="C591" s="397"/>
      <c r="D591" s="453"/>
      <c r="E591" s="436"/>
      <c r="F591" s="418"/>
      <c r="G591" s="544">
        <f t="shared" si="86"/>
        <v>0</v>
      </c>
      <c r="H591" s="538">
        <f t="shared" si="87"/>
        <v>0</v>
      </c>
      <c r="I591" s="539">
        <f t="shared" si="88"/>
        <v>0</v>
      </c>
      <c r="J591" s="540"/>
      <c r="K591" s="403"/>
      <c r="L591" s="541">
        <f t="shared" si="89"/>
      </c>
      <c r="M591" s="542"/>
      <c r="N591" s="544">
        <v>0</v>
      </c>
      <c r="O591" s="542"/>
      <c r="P591" s="545">
        <f>BOKFØRT!C591</f>
        <v>0</v>
      </c>
      <c r="Q591" s="583">
        <f t="shared" si="90"/>
        <v>0</v>
      </c>
      <c r="R591" s="199"/>
      <c r="S591" s="199"/>
    </row>
    <row r="592" spans="1:19" s="1" customFormat="1" ht="12.75">
      <c r="A592" s="395">
        <v>422207</v>
      </c>
      <c r="B592" s="408" t="s">
        <v>234</v>
      </c>
      <c r="C592" s="397"/>
      <c r="D592" s="453"/>
      <c r="E592" s="436"/>
      <c r="F592" s="418"/>
      <c r="G592" s="544">
        <f t="shared" si="86"/>
        <v>0</v>
      </c>
      <c r="H592" s="538">
        <f t="shared" si="87"/>
        <v>0</v>
      </c>
      <c r="I592" s="539">
        <f t="shared" si="88"/>
        <v>0</v>
      </c>
      <c r="J592" s="540"/>
      <c r="K592" s="403"/>
      <c r="L592" s="541">
        <f t="shared" si="89"/>
      </c>
      <c r="M592" s="542"/>
      <c r="N592" s="544">
        <v>0</v>
      </c>
      <c r="O592" s="542"/>
      <c r="P592" s="545">
        <f>BOKFØRT!C592</f>
        <v>0</v>
      </c>
      <c r="Q592" s="583">
        <f t="shared" si="90"/>
        <v>0</v>
      </c>
      <c r="R592" s="199"/>
      <c r="S592" s="199"/>
    </row>
    <row r="593" spans="1:19" s="1" customFormat="1" ht="12.75">
      <c r="A593" s="395">
        <v>422208</v>
      </c>
      <c r="B593" s="408" t="s">
        <v>235</v>
      </c>
      <c r="C593" s="397"/>
      <c r="D593" s="453"/>
      <c r="E593" s="436"/>
      <c r="F593" s="418"/>
      <c r="G593" s="544">
        <f t="shared" si="86"/>
        <v>0</v>
      </c>
      <c r="H593" s="538">
        <f t="shared" si="87"/>
        <v>0</v>
      </c>
      <c r="I593" s="539">
        <f t="shared" si="88"/>
        <v>0</v>
      </c>
      <c r="J593" s="540"/>
      <c r="K593" s="403"/>
      <c r="L593" s="541">
        <f t="shared" si="89"/>
      </c>
      <c r="M593" s="542"/>
      <c r="N593" s="544">
        <v>0</v>
      </c>
      <c r="O593" s="542"/>
      <c r="P593" s="545">
        <f>BOKFØRT!C593</f>
        <v>0</v>
      </c>
      <c r="Q593" s="583">
        <f t="shared" si="90"/>
        <v>0</v>
      </c>
      <c r="R593" s="199"/>
      <c r="S593" s="199"/>
    </row>
    <row r="594" spans="1:19" s="1" customFormat="1" ht="12.75">
      <c r="A594" s="395">
        <v>422209</v>
      </c>
      <c r="B594" s="408" t="s">
        <v>236</v>
      </c>
      <c r="C594" s="397"/>
      <c r="D594" s="453"/>
      <c r="E594" s="436"/>
      <c r="F594" s="418"/>
      <c r="G594" s="544">
        <f t="shared" si="86"/>
        <v>0</v>
      </c>
      <c r="H594" s="538">
        <f t="shared" si="87"/>
        <v>0</v>
      </c>
      <c r="I594" s="539">
        <f t="shared" si="88"/>
        <v>0</v>
      </c>
      <c r="J594" s="540"/>
      <c r="K594" s="403"/>
      <c r="L594" s="541">
        <f t="shared" si="89"/>
      </c>
      <c r="M594" s="542"/>
      <c r="N594" s="544">
        <v>0</v>
      </c>
      <c r="O594" s="542"/>
      <c r="P594" s="545">
        <f>BOKFØRT!C594</f>
        <v>0</v>
      </c>
      <c r="Q594" s="583">
        <f t="shared" si="90"/>
        <v>0</v>
      </c>
      <c r="R594" s="199"/>
      <c r="S594" s="199"/>
    </row>
    <row r="595" spans="1:19" s="1" customFormat="1" ht="12.75">
      <c r="A595" s="395">
        <v>422210</v>
      </c>
      <c r="B595" s="408" t="s">
        <v>237</v>
      </c>
      <c r="C595" s="397"/>
      <c r="D595" s="453"/>
      <c r="E595" s="436"/>
      <c r="F595" s="418"/>
      <c r="G595" s="544">
        <f t="shared" si="86"/>
        <v>0</v>
      </c>
      <c r="H595" s="538">
        <f t="shared" si="87"/>
        <v>0</v>
      </c>
      <c r="I595" s="539">
        <f t="shared" si="88"/>
        <v>0</v>
      </c>
      <c r="J595" s="540"/>
      <c r="K595" s="403"/>
      <c r="L595" s="541">
        <f t="shared" si="89"/>
      </c>
      <c r="M595" s="542"/>
      <c r="N595" s="544">
        <v>0</v>
      </c>
      <c r="O595" s="542"/>
      <c r="P595" s="545">
        <f>BOKFØRT!C595</f>
        <v>0</v>
      </c>
      <c r="Q595" s="583">
        <f t="shared" si="90"/>
        <v>0</v>
      </c>
      <c r="R595" s="199"/>
      <c r="S595" s="199"/>
    </row>
    <row r="596" spans="1:19" s="1" customFormat="1" ht="12.75">
      <c r="A596" s="395">
        <v>422211</v>
      </c>
      <c r="B596" s="408" t="s">
        <v>238</v>
      </c>
      <c r="C596" s="397"/>
      <c r="D596" s="453"/>
      <c r="E596" s="436"/>
      <c r="F596" s="418"/>
      <c r="G596" s="544">
        <f t="shared" si="86"/>
        <v>0</v>
      </c>
      <c r="H596" s="538">
        <f t="shared" si="87"/>
        <v>0</v>
      </c>
      <c r="I596" s="539">
        <f t="shared" si="88"/>
        <v>0</v>
      </c>
      <c r="J596" s="540"/>
      <c r="K596" s="403"/>
      <c r="L596" s="541">
        <f t="shared" si="89"/>
      </c>
      <c r="M596" s="542"/>
      <c r="N596" s="544">
        <v>0</v>
      </c>
      <c r="O596" s="542"/>
      <c r="P596" s="545">
        <f>BOKFØRT!C596</f>
        <v>0</v>
      </c>
      <c r="Q596" s="583">
        <f t="shared" si="90"/>
        <v>0</v>
      </c>
      <c r="R596" s="199"/>
      <c r="S596" s="199"/>
    </row>
    <row r="597" spans="1:19" s="1" customFormat="1" ht="12.75">
      <c r="A597" s="395">
        <v>422212</v>
      </c>
      <c r="B597" s="408" t="s">
        <v>239</v>
      </c>
      <c r="C597" s="397"/>
      <c r="D597" s="453"/>
      <c r="E597" s="436"/>
      <c r="F597" s="418"/>
      <c r="G597" s="544">
        <f t="shared" si="86"/>
        <v>0</v>
      </c>
      <c r="H597" s="538">
        <f t="shared" si="87"/>
        <v>0</v>
      </c>
      <c r="I597" s="539">
        <f t="shared" si="88"/>
        <v>0</v>
      </c>
      <c r="J597" s="540"/>
      <c r="K597" s="403"/>
      <c r="L597" s="541">
        <f t="shared" si="89"/>
      </c>
      <c r="M597" s="542"/>
      <c r="N597" s="544">
        <v>0</v>
      </c>
      <c r="O597" s="542"/>
      <c r="P597" s="545">
        <f>BOKFØRT!C597</f>
        <v>0</v>
      </c>
      <c r="Q597" s="583">
        <f t="shared" si="90"/>
        <v>0</v>
      </c>
      <c r="R597" s="199"/>
      <c r="S597" s="199"/>
    </row>
    <row r="598" spans="1:19" s="1" customFormat="1" ht="12.75">
      <c r="A598" s="395">
        <v>422213</v>
      </c>
      <c r="B598" s="408" t="s">
        <v>240</v>
      </c>
      <c r="C598" s="397"/>
      <c r="D598" s="453"/>
      <c r="E598" s="436"/>
      <c r="F598" s="418"/>
      <c r="G598" s="544">
        <f t="shared" si="86"/>
        <v>0</v>
      </c>
      <c r="H598" s="538">
        <f t="shared" si="87"/>
        <v>0</v>
      </c>
      <c r="I598" s="539">
        <f t="shared" si="88"/>
        <v>0</v>
      </c>
      <c r="J598" s="540"/>
      <c r="K598" s="403"/>
      <c r="L598" s="541">
        <f t="shared" si="89"/>
      </c>
      <c r="M598" s="542"/>
      <c r="N598" s="544">
        <v>0</v>
      </c>
      <c r="O598" s="542"/>
      <c r="P598" s="545">
        <f>BOKFØRT!C598</f>
        <v>0</v>
      </c>
      <c r="Q598" s="583">
        <f t="shared" si="90"/>
        <v>0</v>
      </c>
      <c r="R598" s="199"/>
      <c r="S598" s="199"/>
    </row>
    <row r="599" spans="1:19" s="1" customFormat="1" ht="12.75">
      <c r="A599" s="395">
        <v>422214</v>
      </c>
      <c r="B599" s="408" t="s">
        <v>241</v>
      </c>
      <c r="C599" s="397"/>
      <c r="D599" s="453"/>
      <c r="E599" s="436"/>
      <c r="F599" s="418"/>
      <c r="G599" s="544">
        <f t="shared" si="86"/>
        <v>0</v>
      </c>
      <c r="H599" s="538">
        <f t="shared" si="87"/>
        <v>0</v>
      </c>
      <c r="I599" s="539">
        <f t="shared" si="88"/>
        <v>0</v>
      </c>
      <c r="J599" s="540"/>
      <c r="K599" s="403"/>
      <c r="L599" s="541">
        <f t="shared" si="89"/>
      </c>
      <c r="M599" s="542"/>
      <c r="N599" s="544">
        <v>0</v>
      </c>
      <c r="O599" s="542"/>
      <c r="P599" s="545">
        <f>BOKFØRT!C599</f>
        <v>0</v>
      </c>
      <c r="Q599" s="583">
        <f t="shared" si="90"/>
        <v>0</v>
      </c>
      <c r="R599" s="199"/>
      <c r="S599" s="199"/>
    </row>
    <row r="600" spans="1:19" s="1" customFormat="1" ht="12.75">
      <c r="A600" s="395">
        <v>422215</v>
      </c>
      <c r="B600" s="408" t="s">
        <v>242</v>
      </c>
      <c r="C600" s="397"/>
      <c r="D600" s="453"/>
      <c r="E600" s="436"/>
      <c r="F600" s="418"/>
      <c r="G600" s="544">
        <f t="shared" si="86"/>
        <v>0</v>
      </c>
      <c r="H600" s="538">
        <f t="shared" si="87"/>
        <v>0</v>
      </c>
      <c r="I600" s="539">
        <f t="shared" si="88"/>
        <v>0</v>
      </c>
      <c r="J600" s="540"/>
      <c r="K600" s="403"/>
      <c r="L600" s="541">
        <f t="shared" si="89"/>
      </c>
      <c r="M600" s="542"/>
      <c r="N600" s="544">
        <v>0</v>
      </c>
      <c r="O600" s="542"/>
      <c r="P600" s="545">
        <f>BOKFØRT!C600</f>
        <v>0</v>
      </c>
      <c r="Q600" s="583">
        <f t="shared" si="90"/>
        <v>0</v>
      </c>
      <c r="R600" s="199"/>
      <c r="S600" s="199"/>
    </row>
    <row r="601" spans="1:19" s="1" customFormat="1" ht="12.75">
      <c r="A601" s="395">
        <v>422216</v>
      </c>
      <c r="B601" s="408" t="s">
        <v>243</v>
      </c>
      <c r="C601" s="397"/>
      <c r="D601" s="453"/>
      <c r="E601" s="436"/>
      <c r="F601" s="418"/>
      <c r="G601" s="544">
        <f t="shared" si="86"/>
        <v>0</v>
      </c>
      <c r="H601" s="538">
        <f t="shared" si="87"/>
        <v>0</v>
      </c>
      <c r="I601" s="539">
        <f t="shared" si="88"/>
        <v>0</v>
      </c>
      <c r="J601" s="540"/>
      <c r="K601" s="403"/>
      <c r="L601" s="541">
        <f t="shared" si="89"/>
      </c>
      <c r="M601" s="542"/>
      <c r="N601" s="544">
        <v>0</v>
      </c>
      <c r="O601" s="542"/>
      <c r="P601" s="545">
        <f>BOKFØRT!C601</f>
        <v>0</v>
      </c>
      <c r="Q601" s="583">
        <f t="shared" si="90"/>
        <v>0</v>
      </c>
      <c r="R601" s="199"/>
      <c r="S601" s="199"/>
    </row>
    <row r="602" spans="1:19" s="1" customFormat="1" ht="12.75">
      <c r="A602" s="395">
        <v>422217</v>
      </c>
      <c r="B602" s="408" t="s">
        <v>244</v>
      </c>
      <c r="C602" s="397"/>
      <c r="D602" s="453"/>
      <c r="E602" s="436"/>
      <c r="F602" s="418"/>
      <c r="G602" s="544">
        <f t="shared" si="86"/>
        <v>0</v>
      </c>
      <c r="H602" s="538">
        <f t="shared" si="87"/>
        <v>0</v>
      </c>
      <c r="I602" s="539">
        <f t="shared" si="88"/>
        <v>0</v>
      </c>
      <c r="J602" s="540"/>
      <c r="K602" s="403"/>
      <c r="L602" s="541">
        <f t="shared" si="89"/>
      </c>
      <c r="M602" s="542"/>
      <c r="N602" s="544">
        <v>0</v>
      </c>
      <c r="O602" s="542"/>
      <c r="P602" s="545">
        <f>BOKFØRT!C602</f>
        <v>0</v>
      </c>
      <c r="Q602" s="583">
        <f t="shared" si="90"/>
        <v>0</v>
      </c>
      <c r="R602" s="199"/>
      <c r="S602" s="199"/>
    </row>
    <row r="603" spans="1:19" s="1" customFormat="1" ht="12.75">
      <c r="A603" s="395">
        <v>422218</v>
      </c>
      <c r="B603" s="408" t="s">
        <v>245</v>
      </c>
      <c r="C603" s="397"/>
      <c r="D603" s="453"/>
      <c r="E603" s="436"/>
      <c r="F603" s="418"/>
      <c r="G603" s="544">
        <f t="shared" si="86"/>
        <v>0</v>
      </c>
      <c r="H603" s="538">
        <f t="shared" si="87"/>
        <v>0</v>
      </c>
      <c r="I603" s="539">
        <f t="shared" si="88"/>
        <v>0</v>
      </c>
      <c r="J603" s="540"/>
      <c r="K603" s="403"/>
      <c r="L603" s="541">
        <f t="shared" si="89"/>
      </c>
      <c r="M603" s="542"/>
      <c r="N603" s="544">
        <v>0</v>
      </c>
      <c r="O603" s="542"/>
      <c r="P603" s="545">
        <f>BOKFØRT!C603</f>
        <v>0</v>
      </c>
      <c r="Q603" s="583">
        <f t="shared" si="90"/>
        <v>0</v>
      </c>
      <c r="R603" s="199"/>
      <c r="S603" s="199"/>
    </row>
    <row r="604" spans="1:19" s="1" customFormat="1" ht="12.75">
      <c r="A604" s="395">
        <v>422219</v>
      </c>
      <c r="B604" s="408" t="s">
        <v>246</v>
      </c>
      <c r="C604" s="397"/>
      <c r="D604" s="453"/>
      <c r="E604" s="436"/>
      <c r="F604" s="418"/>
      <c r="G604" s="544">
        <f t="shared" si="86"/>
        <v>0</v>
      </c>
      <c r="H604" s="538">
        <f t="shared" si="87"/>
        <v>0</v>
      </c>
      <c r="I604" s="539">
        <f t="shared" si="88"/>
        <v>0</v>
      </c>
      <c r="J604" s="540"/>
      <c r="K604" s="403"/>
      <c r="L604" s="541">
        <f t="shared" si="89"/>
      </c>
      <c r="M604" s="542"/>
      <c r="N604" s="544">
        <v>0</v>
      </c>
      <c r="O604" s="542"/>
      <c r="P604" s="545">
        <f>BOKFØRT!C604</f>
        <v>0</v>
      </c>
      <c r="Q604" s="583">
        <f t="shared" si="90"/>
        <v>0</v>
      </c>
      <c r="R604" s="199"/>
      <c r="S604" s="199"/>
    </row>
    <row r="605" spans="1:19" s="1" customFormat="1" ht="12.75">
      <c r="A605" s="395">
        <v>422220</v>
      </c>
      <c r="B605" s="408" t="s">
        <v>247</v>
      </c>
      <c r="C605" s="397"/>
      <c r="D605" s="453"/>
      <c r="E605" s="436"/>
      <c r="F605" s="418"/>
      <c r="G605" s="544">
        <f t="shared" si="86"/>
        <v>0</v>
      </c>
      <c r="H605" s="538">
        <f t="shared" si="87"/>
        <v>0</v>
      </c>
      <c r="I605" s="539">
        <f t="shared" si="88"/>
        <v>0</v>
      </c>
      <c r="J605" s="540"/>
      <c r="K605" s="403"/>
      <c r="L605" s="541">
        <f t="shared" si="89"/>
      </c>
      <c r="M605" s="542"/>
      <c r="N605" s="544">
        <v>0</v>
      </c>
      <c r="O605" s="542"/>
      <c r="P605" s="545">
        <f>BOKFØRT!C605</f>
        <v>0</v>
      </c>
      <c r="Q605" s="583">
        <f t="shared" si="90"/>
        <v>0</v>
      </c>
      <c r="R605" s="199"/>
      <c r="S605" s="199"/>
    </row>
    <row r="606" spans="1:19" s="1" customFormat="1" ht="12.75">
      <c r="A606" s="395">
        <v>422221</v>
      </c>
      <c r="B606" s="408" t="s">
        <v>248</v>
      </c>
      <c r="C606" s="397"/>
      <c r="D606" s="453"/>
      <c r="E606" s="436"/>
      <c r="F606" s="418"/>
      <c r="G606" s="544">
        <f t="shared" si="86"/>
        <v>0</v>
      </c>
      <c r="H606" s="538">
        <f t="shared" si="87"/>
        <v>0</v>
      </c>
      <c r="I606" s="539">
        <f t="shared" si="88"/>
        <v>0</v>
      </c>
      <c r="J606" s="540"/>
      <c r="K606" s="403"/>
      <c r="L606" s="541">
        <f t="shared" si="89"/>
      </c>
      <c r="M606" s="542"/>
      <c r="N606" s="544">
        <v>0</v>
      </c>
      <c r="O606" s="542"/>
      <c r="P606" s="545">
        <f>BOKFØRT!C606</f>
        <v>0</v>
      </c>
      <c r="Q606" s="583">
        <f t="shared" si="90"/>
        <v>0</v>
      </c>
      <c r="R606" s="199"/>
      <c r="S606" s="199"/>
    </row>
    <row r="607" spans="1:19" s="1" customFormat="1" ht="12.75">
      <c r="A607" s="395">
        <v>422222</v>
      </c>
      <c r="B607" s="408" t="s">
        <v>249</v>
      </c>
      <c r="C607" s="397"/>
      <c r="D607" s="453"/>
      <c r="E607" s="436"/>
      <c r="F607" s="418"/>
      <c r="G607" s="544">
        <f t="shared" si="86"/>
        <v>0</v>
      </c>
      <c r="H607" s="538">
        <f t="shared" si="87"/>
        <v>0</v>
      </c>
      <c r="I607" s="539">
        <f t="shared" si="88"/>
        <v>0</v>
      </c>
      <c r="J607" s="540"/>
      <c r="K607" s="403"/>
      <c r="L607" s="541">
        <f t="shared" si="89"/>
      </c>
      <c r="M607" s="542"/>
      <c r="N607" s="544">
        <v>0</v>
      </c>
      <c r="O607" s="542"/>
      <c r="P607" s="545">
        <f>BOKFØRT!C607</f>
        <v>0</v>
      </c>
      <c r="Q607" s="583">
        <f t="shared" si="90"/>
        <v>0</v>
      </c>
      <c r="R607" s="199"/>
      <c r="S607" s="199"/>
    </row>
    <row r="608" spans="1:19" s="1" customFormat="1" ht="12.75">
      <c r="A608" s="395">
        <v>422223</v>
      </c>
      <c r="B608" s="408" t="s">
        <v>250</v>
      </c>
      <c r="C608" s="397"/>
      <c r="D608" s="453"/>
      <c r="E608" s="436"/>
      <c r="F608" s="418"/>
      <c r="G608" s="544">
        <f t="shared" si="86"/>
        <v>0</v>
      </c>
      <c r="H608" s="538">
        <f t="shared" si="87"/>
        <v>0</v>
      </c>
      <c r="I608" s="539">
        <f t="shared" si="88"/>
        <v>0</v>
      </c>
      <c r="J608" s="540"/>
      <c r="K608" s="403"/>
      <c r="L608" s="541">
        <f t="shared" si="89"/>
      </c>
      <c r="M608" s="542"/>
      <c r="N608" s="544">
        <v>0</v>
      </c>
      <c r="O608" s="542"/>
      <c r="P608" s="545">
        <f>BOKFØRT!C608</f>
        <v>0</v>
      </c>
      <c r="Q608" s="583">
        <f t="shared" si="90"/>
        <v>0</v>
      </c>
      <c r="R608" s="199"/>
      <c r="S608" s="199"/>
    </row>
    <row r="609" spans="1:19" s="1" customFormat="1" ht="12.75">
      <c r="A609" s="395">
        <v>422224</v>
      </c>
      <c r="B609" s="408" t="s">
        <v>251</v>
      </c>
      <c r="C609" s="397"/>
      <c r="D609" s="453"/>
      <c r="E609" s="436"/>
      <c r="F609" s="418"/>
      <c r="G609" s="544">
        <f t="shared" si="86"/>
        <v>0</v>
      </c>
      <c r="H609" s="538">
        <f t="shared" si="87"/>
        <v>0</v>
      </c>
      <c r="I609" s="539">
        <f t="shared" si="88"/>
        <v>0</v>
      </c>
      <c r="J609" s="540"/>
      <c r="K609" s="403"/>
      <c r="L609" s="541">
        <f t="shared" si="89"/>
      </c>
      <c r="M609" s="542"/>
      <c r="N609" s="544">
        <v>0</v>
      </c>
      <c r="O609" s="542"/>
      <c r="P609" s="545">
        <f>BOKFØRT!C609</f>
        <v>0</v>
      </c>
      <c r="Q609" s="583">
        <f t="shared" si="90"/>
        <v>0</v>
      </c>
      <c r="R609" s="199"/>
      <c r="S609" s="199"/>
    </row>
    <row r="610" spans="1:19" s="1" customFormat="1" ht="12.75">
      <c r="A610" s="395">
        <v>422225</v>
      </c>
      <c r="B610" s="408" t="s">
        <v>252</v>
      </c>
      <c r="C610" s="397"/>
      <c r="D610" s="453"/>
      <c r="E610" s="436"/>
      <c r="F610" s="418"/>
      <c r="G610" s="544">
        <f t="shared" si="86"/>
        <v>0</v>
      </c>
      <c r="H610" s="538">
        <f t="shared" si="87"/>
        <v>0</v>
      </c>
      <c r="I610" s="539">
        <f t="shared" si="88"/>
        <v>0</v>
      </c>
      <c r="J610" s="540"/>
      <c r="K610" s="403"/>
      <c r="L610" s="541">
        <f t="shared" si="89"/>
      </c>
      <c r="M610" s="542"/>
      <c r="N610" s="544">
        <v>0</v>
      </c>
      <c r="O610" s="542"/>
      <c r="P610" s="545">
        <f>BOKFØRT!C610</f>
        <v>0</v>
      </c>
      <c r="Q610" s="583">
        <f t="shared" si="90"/>
        <v>0</v>
      </c>
      <c r="R610" s="199"/>
      <c r="S610" s="199"/>
    </row>
    <row r="611" spans="1:19" s="1" customFormat="1" ht="12.75">
      <c r="A611" s="395">
        <v>422226</v>
      </c>
      <c r="B611" s="408" t="s">
        <v>253</v>
      </c>
      <c r="C611" s="397"/>
      <c r="D611" s="453"/>
      <c r="E611" s="436"/>
      <c r="F611" s="418"/>
      <c r="G611" s="544">
        <f t="shared" si="86"/>
        <v>0</v>
      </c>
      <c r="H611" s="538">
        <f t="shared" si="87"/>
        <v>0</v>
      </c>
      <c r="I611" s="539">
        <f t="shared" si="88"/>
        <v>0</v>
      </c>
      <c r="J611" s="540"/>
      <c r="K611" s="403"/>
      <c r="L611" s="541">
        <f t="shared" si="89"/>
      </c>
      <c r="M611" s="542"/>
      <c r="N611" s="544">
        <v>0</v>
      </c>
      <c r="O611" s="542"/>
      <c r="P611" s="545">
        <f>BOKFØRT!C611</f>
        <v>0</v>
      </c>
      <c r="Q611" s="583">
        <f t="shared" si="90"/>
        <v>0</v>
      </c>
      <c r="R611" s="199"/>
      <c r="S611" s="199"/>
    </row>
    <row r="612" spans="1:19" s="1" customFormat="1" ht="12.75">
      <c r="A612" s="395">
        <v>422227</v>
      </c>
      <c r="B612" s="408" t="s">
        <v>254</v>
      </c>
      <c r="C612" s="397"/>
      <c r="D612" s="453"/>
      <c r="E612" s="436"/>
      <c r="F612" s="418"/>
      <c r="G612" s="544">
        <f t="shared" si="86"/>
        <v>0</v>
      </c>
      <c r="H612" s="538">
        <f t="shared" si="87"/>
        <v>0</v>
      </c>
      <c r="I612" s="539">
        <f t="shared" si="88"/>
        <v>0</v>
      </c>
      <c r="J612" s="540"/>
      <c r="K612" s="403"/>
      <c r="L612" s="541">
        <f t="shared" si="89"/>
      </c>
      <c r="M612" s="542"/>
      <c r="N612" s="544">
        <v>0</v>
      </c>
      <c r="O612" s="542"/>
      <c r="P612" s="545">
        <f>BOKFØRT!C612</f>
        <v>0</v>
      </c>
      <c r="Q612" s="583">
        <f t="shared" si="90"/>
        <v>0</v>
      </c>
      <c r="R612" s="199"/>
      <c r="S612" s="199"/>
    </row>
    <row r="613" spans="1:19" s="1" customFormat="1" ht="12.75">
      <c r="A613" s="395">
        <v>422228</v>
      </c>
      <c r="B613" s="408" t="s">
        <v>255</v>
      </c>
      <c r="C613" s="397"/>
      <c r="D613" s="453"/>
      <c r="E613" s="436"/>
      <c r="F613" s="418"/>
      <c r="G613" s="544">
        <f t="shared" si="86"/>
        <v>0</v>
      </c>
      <c r="H613" s="538">
        <f t="shared" si="87"/>
        <v>0</v>
      </c>
      <c r="I613" s="539">
        <f t="shared" si="88"/>
        <v>0</v>
      </c>
      <c r="J613" s="540"/>
      <c r="K613" s="403"/>
      <c r="L613" s="541">
        <f t="shared" si="89"/>
      </c>
      <c r="M613" s="542"/>
      <c r="N613" s="544">
        <v>0</v>
      </c>
      <c r="O613" s="542"/>
      <c r="P613" s="545">
        <f>BOKFØRT!C613</f>
        <v>0</v>
      </c>
      <c r="Q613" s="583">
        <f t="shared" si="90"/>
        <v>0</v>
      </c>
      <c r="R613" s="199"/>
      <c r="S613" s="199"/>
    </row>
    <row r="614" spans="1:19" s="1" customFormat="1" ht="12.75">
      <c r="A614" s="395">
        <v>422229</v>
      </c>
      <c r="B614" s="408" t="s">
        <v>256</v>
      </c>
      <c r="C614" s="397"/>
      <c r="D614" s="453"/>
      <c r="E614" s="436"/>
      <c r="F614" s="418"/>
      <c r="G614" s="544">
        <f t="shared" si="86"/>
        <v>0</v>
      </c>
      <c r="H614" s="538">
        <f t="shared" si="87"/>
        <v>0</v>
      </c>
      <c r="I614" s="539">
        <f t="shared" si="88"/>
        <v>0</v>
      </c>
      <c r="J614" s="540"/>
      <c r="K614" s="403"/>
      <c r="L614" s="541">
        <f t="shared" si="89"/>
      </c>
      <c r="M614" s="542"/>
      <c r="N614" s="544">
        <v>0</v>
      </c>
      <c r="O614" s="542"/>
      <c r="P614" s="545">
        <f>BOKFØRT!C614</f>
        <v>0</v>
      </c>
      <c r="Q614" s="583">
        <f t="shared" si="90"/>
        <v>0</v>
      </c>
      <c r="R614" s="199"/>
      <c r="S614" s="199"/>
    </row>
    <row r="615" spans="1:19" s="1" customFormat="1" ht="12.75">
      <c r="A615" s="395">
        <v>422230</v>
      </c>
      <c r="B615" s="408" t="s">
        <v>750</v>
      </c>
      <c r="C615" s="397"/>
      <c r="D615" s="453"/>
      <c r="E615" s="436"/>
      <c r="F615" s="418"/>
      <c r="G615" s="544">
        <f t="shared" si="86"/>
        <v>0</v>
      </c>
      <c r="H615" s="538">
        <f t="shared" si="87"/>
        <v>0</v>
      </c>
      <c r="I615" s="539">
        <f t="shared" si="88"/>
        <v>0</v>
      </c>
      <c r="J615" s="540"/>
      <c r="K615" s="403"/>
      <c r="L615" s="541">
        <f t="shared" si="89"/>
      </c>
      <c r="M615" s="542"/>
      <c r="N615" s="544">
        <v>0</v>
      </c>
      <c r="O615" s="542"/>
      <c r="P615" s="545">
        <f>BOKFØRT!C615</f>
        <v>0</v>
      </c>
      <c r="Q615" s="583">
        <f t="shared" si="90"/>
        <v>0</v>
      </c>
      <c r="R615" s="199"/>
      <c r="S615" s="199"/>
    </row>
    <row r="616" spans="1:19" s="1" customFormat="1" ht="12.75">
      <c r="A616" s="395">
        <v>422231</v>
      </c>
      <c r="B616" s="408" t="s">
        <v>751</v>
      </c>
      <c r="C616" s="397"/>
      <c r="D616" s="453"/>
      <c r="E616" s="436"/>
      <c r="F616" s="418"/>
      <c r="G616" s="544">
        <f t="shared" si="86"/>
        <v>0</v>
      </c>
      <c r="H616" s="538">
        <f t="shared" si="87"/>
        <v>0</v>
      </c>
      <c r="I616" s="539">
        <f t="shared" si="88"/>
        <v>0</v>
      </c>
      <c r="J616" s="540"/>
      <c r="K616" s="403"/>
      <c r="L616" s="541">
        <f t="shared" si="89"/>
      </c>
      <c r="M616" s="542"/>
      <c r="N616" s="544">
        <v>0</v>
      </c>
      <c r="O616" s="542"/>
      <c r="P616" s="545">
        <f>BOKFØRT!C616</f>
        <v>0</v>
      </c>
      <c r="Q616" s="583">
        <f t="shared" si="90"/>
        <v>0</v>
      </c>
      <c r="R616" s="199"/>
      <c r="S616" s="199"/>
    </row>
    <row r="617" spans="1:19" s="1" customFormat="1" ht="12.75">
      <c r="A617" s="395">
        <v>422232</v>
      </c>
      <c r="B617" s="408" t="s">
        <v>752</v>
      </c>
      <c r="C617" s="397"/>
      <c r="D617" s="453"/>
      <c r="E617" s="436"/>
      <c r="F617" s="418"/>
      <c r="G617" s="544">
        <f t="shared" si="86"/>
        <v>0</v>
      </c>
      <c r="H617" s="538">
        <f t="shared" si="87"/>
        <v>0</v>
      </c>
      <c r="I617" s="539">
        <f t="shared" si="88"/>
        <v>0</v>
      </c>
      <c r="J617" s="540"/>
      <c r="K617" s="403"/>
      <c r="L617" s="541">
        <f t="shared" si="89"/>
      </c>
      <c r="M617" s="542"/>
      <c r="N617" s="544">
        <v>0</v>
      </c>
      <c r="O617" s="542"/>
      <c r="P617" s="545">
        <f>BOKFØRT!C617</f>
        <v>0</v>
      </c>
      <c r="Q617" s="583">
        <f t="shared" si="90"/>
        <v>0</v>
      </c>
      <c r="R617" s="199"/>
      <c r="S617" s="199"/>
    </row>
    <row r="618" spans="1:19" s="1" customFormat="1" ht="12.75">
      <c r="A618" s="395">
        <v>422233</v>
      </c>
      <c r="B618" s="408" t="s">
        <v>753</v>
      </c>
      <c r="C618" s="397"/>
      <c r="D618" s="453"/>
      <c r="E618" s="436"/>
      <c r="F618" s="418"/>
      <c r="G618" s="544">
        <f t="shared" si="86"/>
        <v>0</v>
      </c>
      <c r="H618" s="538">
        <f t="shared" si="87"/>
        <v>0</v>
      </c>
      <c r="I618" s="539">
        <f t="shared" si="88"/>
        <v>0</v>
      </c>
      <c r="J618" s="540"/>
      <c r="K618" s="403"/>
      <c r="L618" s="541">
        <f t="shared" si="89"/>
      </c>
      <c r="M618" s="542"/>
      <c r="N618" s="544">
        <v>0</v>
      </c>
      <c r="O618" s="542"/>
      <c r="P618" s="545">
        <f>BOKFØRT!C618</f>
        <v>0</v>
      </c>
      <c r="Q618" s="583">
        <f t="shared" si="90"/>
        <v>0</v>
      </c>
      <c r="R618" s="199"/>
      <c r="S618" s="199"/>
    </row>
    <row r="619" spans="1:19" s="1" customFormat="1" ht="12.75">
      <c r="A619" s="395">
        <v>422234</v>
      </c>
      <c r="B619" s="408" t="s">
        <v>754</v>
      </c>
      <c r="C619" s="397"/>
      <c r="D619" s="453"/>
      <c r="E619" s="436"/>
      <c r="F619" s="418"/>
      <c r="G619" s="544">
        <f t="shared" si="86"/>
        <v>0</v>
      </c>
      <c r="H619" s="538">
        <f t="shared" si="87"/>
        <v>0</v>
      </c>
      <c r="I619" s="539">
        <f t="shared" si="88"/>
        <v>0</v>
      </c>
      <c r="J619" s="540"/>
      <c r="K619" s="403"/>
      <c r="L619" s="541">
        <f t="shared" si="89"/>
      </c>
      <c r="M619" s="542"/>
      <c r="N619" s="544">
        <v>0</v>
      </c>
      <c r="O619" s="542"/>
      <c r="P619" s="545">
        <f>BOKFØRT!C619</f>
        <v>0</v>
      </c>
      <c r="Q619" s="583">
        <f t="shared" si="90"/>
        <v>0</v>
      </c>
      <c r="R619" s="199"/>
      <c r="S619" s="199"/>
    </row>
    <row r="620" spans="1:19" s="1" customFormat="1" ht="12.75">
      <c r="A620" s="395">
        <v>422235</v>
      </c>
      <c r="B620" s="408" t="s">
        <v>755</v>
      </c>
      <c r="C620" s="397"/>
      <c r="D620" s="453"/>
      <c r="E620" s="436"/>
      <c r="F620" s="418"/>
      <c r="G620" s="544">
        <f t="shared" si="86"/>
        <v>0</v>
      </c>
      <c r="H620" s="538">
        <f t="shared" si="87"/>
        <v>0</v>
      </c>
      <c r="I620" s="539">
        <f t="shared" si="88"/>
        <v>0</v>
      </c>
      <c r="J620" s="540"/>
      <c r="K620" s="403"/>
      <c r="L620" s="541">
        <f t="shared" si="89"/>
      </c>
      <c r="M620" s="542"/>
      <c r="N620" s="544">
        <v>0</v>
      </c>
      <c r="O620" s="542"/>
      <c r="P620" s="545">
        <f>BOKFØRT!C620</f>
        <v>0</v>
      </c>
      <c r="Q620" s="583">
        <f t="shared" si="90"/>
        <v>0</v>
      </c>
      <c r="R620" s="199"/>
      <c r="S620" s="199"/>
    </row>
    <row r="621" spans="1:19" s="1" customFormat="1" ht="12.75">
      <c r="A621" s="395">
        <v>422236</v>
      </c>
      <c r="B621" s="408" t="s">
        <v>756</v>
      </c>
      <c r="C621" s="397"/>
      <c r="D621" s="453"/>
      <c r="E621" s="436"/>
      <c r="F621" s="418"/>
      <c r="G621" s="544">
        <f t="shared" si="86"/>
        <v>0</v>
      </c>
      <c r="H621" s="538">
        <f t="shared" si="87"/>
        <v>0</v>
      </c>
      <c r="I621" s="539">
        <f t="shared" si="88"/>
        <v>0</v>
      </c>
      <c r="J621" s="540"/>
      <c r="K621" s="403"/>
      <c r="L621" s="541">
        <f t="shared" si="89"/>
      </c>
      <c r="M621" s="542"/>
      <c r="N621" s="544">
        <v>0</v>
      </c>
      <c r="O621" s="542"/>
      <c r="P621" s="545">
        <f>BOKFØRT!C621</f>
        <v>0</v>
      </c>
      <c r="Q621" s="583">
        <f t="shared" si="90"/>
        <v>0</v>
      </c>
      <c r="R621" s="199"/>
      <c r="S621" s="199"/>
    </row>
    <row r="622" spans="1:19" s="1" customFormat="1" ht="12.75">
      <c r="A622" s="395">
        <v>422237</v>
      </c>
      <c r="B622" s="408" t="s">
        <v>757</v>
      </c>
      <c r="C622" s="397"/>
      <c r="D622" s="453"/>
      <c r="E622" s="436"/>
      <c r="F622" s="418"/>
      <c r="G622" s="544">
        <f t="shared" si="86"/>
        <v>0</v>
      </c>
      <c r="H622" s="538">
        <f t="shared" si="87"/>
        <v>0</v>
      </c>
      <c r="I622" s="539">
        <f t="shared" si="88"/>
        <v>0</v>
      </c>
      <c r="J622" s="540"/>
      <c r="K622" s="403"/>
      <c r="L622" s="541">
        <f t="shared" si="89"/>
      </c>
      <c r="M622" s="542"/>
      <c r="N622" s="544">
        <v>0</v>
      </c>
      <c r="O622" s="542"/>
      <c r="P622" s="545">
        <f>BOKFØRT!C622</f>
        <v>0</v>
      </c>
      <c r="Q622" s="583">
        <f t="shared" si="90"/>
        <v>0</v>
      </c>
      <c r="R622" s="199"/>
      <c r="S622" s="199"/>
    </row>
    <row r="623" spans="1:19" s="1" customFormat="1" ht="12.75">
      <c r="A623" s="395">
        <v>422238</v>
      </c>
      <c r="B623" s="408" t="s">
        <v>758</v>
      </c>
      <c r="C623" s="397"/>
      <c r="D623" s="453"/>
      <c r="E623" s="436"/>
      <c r="F623" s="418"/>
      <c r="G623" s="544">
        <f t="shared" si="86"/>
        <v>0</v>
      </c>
      <c r="H623" s="538">
        <f t="shared" si="87"/>
        <v>0</v>
      </c>
      <c r="I623" s="539">
        <f t="shared" si="88"/>
        <v>0</v>
      </c>
      <c r="J623" s="540"/>
      <c r="K623" s="403"/>
      <c r="L623" s="541">
        <f t="shared" si="89"/>
      </c>
      <c r="M623" s="542"/>
      <c r="N623" s="544">
        <v>0</v>
      </c>
      <c r="O623" s="542"/>
      <c r="P623" s="545">
        <f>BOKFØRT!C623</f>
        <v>0</v>
      </c>
      <c r="Q623" s="583">
        <f t="shared" si="90"/>
        <v>0</v>
      </c>
      <c r="R623" s="199"/>
      <c r="S623" s="199"/>
    </row>
    <row r="624" spans="1:19" s="1" customFormat="1" ht="12.75">
      <c r="A624" s="395">
        <v>422239</v>
      </c>
      <c r="B624" s="408" t="s">
        <v>759</v>
      </c>
      <c r="C624" s="397"/>
      <c r="D624" s="453"/>
      <c r="E624" s="436"/>
      <c r="F624" s="418"/>
      <c r="G624" s="544">
        <f t="shared" si="86"/>
        <v>0</v>
      </c>
      <c r="H624" s="538">
        <f t="shared" si="87"/>
        <v>0</v>
      </c>
      <c r="I624" s="539">
        <f t="shared" si="88"/>
        <v>0</v>
      </c>
      <c r="J624" s="540"/>
      <c r="K624" s="403"/>
      <c r="L624" s="541">
        <f t="shared" si="89"/>
      </c>
      <c r="M624" s="542"/>
      <c r="N624" s="544">
        <v>0</v>
      </c>
      <c r="O624" s="542"/>
      <c r="P624" s="545">
        <f>BOKFØRT!C624</f>
        <v>0</v>
      </c>
      <c r="Q624" s="583">
        <f t="shared" si="90"/>
        <v>0</v>
      </c>
      <c r="R624" s="199"/>
      <c r="S624" s="199"/>
    </row>
    <row r="625" spans="1:19" s="1" customFormat="1" ht="12.75">
      <c r="A625" s="395">
        <v>422240</v>
      </c>
      <c r="B625" s="408" t="s">
        <v>257</v>
      </c>
      <c r="C625" s="397"/>
      <c r="D625" s="453"/>
      <c r="E625" s="436"/>
      <c r="F625" s="418"/>
      <c r="G625" s="544">
        <f t="shared" si="86"/>
        <v>0</v>
      </c>
      <c r="H625" s="538">
        <f t="shared" si="87"/>
        <v>0</v>
      </c>
      <c r="I625" s="539">
        <f t="shared" si="88"/>
        <v>0</v>
      </c>
      <c r="J625" s="540"/>
      <c r="K625" s="403"/>
      <c r="L625" s="541">
        <f t="shared" si="89"/>
      </c>
      <c r="M625" s="542"/>
      <c r="N625" s="544">
        <v>0</v>
      </c>
      <c r="O625" s="542"/>
      <c r="P625" s="545">
        <f>BOKFØRT!C625</f>
        <v>0</v>
      </c>
      <c r="Q625" s="583">
        <f t="shared" si="90"/>
        <v>0</v>
      </c>
      <c r="R625" s="199"/>
      <c r="S625" s="199"/>
    </row>
    <row r="626" spans="1:19" s="1" customFormat="1" ht="12.75">
      <c r="A626" s="395">
        <v>422245</v>
      </c>
      <c r="B626" s="408" t="s">
        <v>258</v>
      </c>
      <c r="C626" s="397"/>
      <c r="D626" s="453"/>
      <c r="E626" s="436"/>
      <c r="F626" s="418"/>
      <c r="G626" s="544">
        <f t="shared" si="86"/>
        <v>0</v>
      </c>
      <c r="H626" s="538">
        <f t="shared" si="87"/>
        <v>0</v>
      </c>
      <c r="I626" s="539">
        <f t="shared" si="88"/>
        <v>0</v>
      </c>
      <c r="J626" s="540"/>
      <c r="K626" s="403"/>
      <c r="L626" s="541">
        <f t="shared" si="89"/>
      </c>
      <c r="M626" s="542"/>
      <c r="N626" s="544">
        <v>0</v>
      </c>
      <c r="O626" s="542"/>
      <c r="P626" s="545">
        <f>BOKFØRT!C626</f>
        <v>0</v>
      </c>
      <c r="Q626" s="583">
        <f t="shared" si="90"/>
        <v>0</v>
      </c>
      <c r="R626" s="199"/>
      <c r="S626" s="199"/>
    </row>
    <row r="627" spans="1:19" s="1" customFormat="1" ht="12.75">
      <c r="A627" s="395">
        <v>422246</v>
      </c>
      <c r="B627" s="408" t="s">
        <v>259</v>
      </c>
      <c r="C627" s="397"/>
      <c r="D627" s="453"/>
      <c r="E627" s="436"/>
      <c r="F627" s="418"/>
      <c r="G627" s="544">
        <f t="shared" si="86"/>
        <v>0</v>
      </c>
      <c r="H627" s="538">
        <f t="shared" si="87"/>
        <v>0</v>
      </c>
      <c r="I627" s="539">
        <f t="shared" si="88"/>
        <v>0</v>
      </c>
      <c r="J627" s="540"/>
      <c r="K627" s="403"/>
      <c r="L627" s="541">
        <f t="shared" si="89"/>
      </c>
      <c r="M627" s="542"/>
      <c r="N627" s="544">
        <v>0</v>
      </c>
      <c r="O627" s="542"/>
      <c r="P627" s="545">
        <f>BOKFØRT!C627</f>
        <v>0</v>
      </c>
      <c r="Q627" s="583">
        <f t="shared" si="90"/>
        <v>0</v>
      </c>
      <c r="R627" s="199"/>
      <c r="S627" s="199"/>
    </row>
    <row r="628" spans="1:19" s="1" customFormat="1" ht="12.75">
      <c r="A628" s="395">
        <v>422247</v>
      </c>
      <c r="B628" s="408" t="s">
        <v>260</v>
      </c>
      <c r="C628" s="397"/>
      <c r="D628" s="453"/>
      <c r="E628" s="436"/>
      <c r="F628" s="418"/>
      <c r="G628" s="544">
        <f t="shared" si="86"/>
        <v>0</v>
      </c>
      <c r="H628" s="538">
        <f t="shared" si="87"/>
        <v>0</v>
      </c>
      <c r="I628" s="539">
        <f t="shared" si="88"/>
        <v>0</v>
      </c>
      <c r="J628" s="540"/>
      <c r="K628" s="403"/>
      <c r="L628" s="541">
        <f t="shared" si="89"/>
      </c>
      <c r="M628" s="542"/>
      <c r="N628" s="544">
        <v>0</v>
      </c>
      <c r="O628" s="542"/>
      <c r="P628" s="545">
        <f>BOKFØRT!C628</f>
        <v>0</v>
      </c>
      <c r="Q628" s="583">
        <f t="shared" si="90"/>
        <v>0</v>
      </c>
      <c r="R628" s="199"/>
      <c r="S628" s="199"/>
    </row>
    <row r="629" spans="1:19" s="1" customFormat="1" ht="12.75">
      <c r="A629" s="395">
        <v>422250</v>
      </c>
      <c r="B629" s="408" t="s">
        <v>261</v>
      </c>
      <c r="C629" s="397"/>
      <c r="D629" s="453"/>
      <c r="E629" s="436"/>
      <c r="F629" s="418"/>
      <c r="G629" s="544">
        <f t="shared" si="86"/>
        <v>0</v>
      </c>
      <c r="H629" s="538">
        <f t="shared" si="87"/>
        <v>0</v>
      </c>
      <c r="I629" s="539">
        <f t="shared" si="88"/>
        <v>0</v>
      </c>
      <c r="J629" s="540"/>
      <c r="K629" s="403"/>
      <c r="L629" s="541">
        <f t="shared" si="89"/>
      </c>
      <c r="M629" s="542"/>
      <c r="N629" s="544">
        <v>0</v>
      </c>
      <c r="O629" s="542"/>
      <c r="P629" s="545">
        <f>BOKFØRT!C629</f>
        <v>0</v>
      </c>
      <c r="Q629" s="583">
        <f t="shared" si="90"/>
        <v>0</v>
      </c>
      <c r="R629" s="199"/>
      <c r="S629" s="199"/>
    </row>
    <row r="630" spans="1:19" s="1" customFormat="1" ht="12.75">
      <c r="A630" s="395">
        <v>422264</v>
      </c>
      <c r="B630" s="408" t="s">
        <v>262</v>
      </c>
      <c r="C630" s="397"/>
      <c r="D630" s="453"/>
      <c r="E630" s="436"/>
      <c r="F630" s="418"/>
      <c r="G630" s="544">
        <f t="shared" si="86"/>
        <v>0</v>
      </c>
      <c r="H630" s="538">
        <f t="shared" si="87"/>
        <v>0</v>
      </c>
      <c r="I630" s="539">
        <f t="shared" si="88"/>
        <v>0</v>
      </c>
      <c r="J630" s="540"/>
      <c r="K630" s="403"/>
      <c r="L630" s="541">
        <f t="shared" si="89"/>
      </c>
      <c r="M630" s="542"/>
      <c r="N630" s="544">
        <v>0</v>
      </c>
      <c r="O630" s="542"/>
      <c r="P630" s="545">
        <f>BOKFØRT!C630</f>
        <v>0</v>
      </c>
      <c r="Q630" s="583">
        <f t="shared" si="90"/>
        <v>0</v>
      </c>
      <c r="R630" s="199"/>
      <c r="S630" s="199"/>
    </row>
    <row r="631" spans="1:19" s="1" customFormat="1" ht="12.75">
      <c r="A631" s="395">
        <v>422265</v>
      </c>
      <c r="B631" s="408" t="s">
        <v>263</v>
      </c>
      <c r="C631" s="397"/>
      <c r="D631" s="453"/>
      <c r="E631" s="436"/>
      <c r="F631" s="418"/>
      <c r="G631" s="544">
        <f t="shared" si="86"/>
        <v>0</v>
      </c>
      <c r="H631" s="538">
        <f t="shared" si="87"/>
        <v>0</v>
      </c>
      <c r="I631" s="539">
        <f t="shared" si="88"/>
        <v>0</v>
      </c>
      <c r="J631" s="540"/>
      <c r="K631" s="403"/>
      <c r="L631" s="541">
        <f t="shared" si="89"/>
      </c>
      <c r="M631" s="542"/>
      <c r="N631" s="544">
        <v>0</v>
      </c>
      <c r="O631" s="542"/>
      <c r="P631" s="545">
        <f>BOKFØRT!C631</f>
        <v>0</v>
      </c>
      <c r="Q631" s="583">
        <f t="shared" si="90"/>
        <v>0</v>
      </c>
      <c r="R631" s="199"/>
      <c r="S631" s="199"/>
    </row>
    <row r="632" spans="1:19" s="1" customFormat="1" ht="12.75">
      <c r="A632" s="395">
        <v>422270</v>
      </c>
      <c r="B632" s="408" t="s">
        <v>264</v>
      </c>
      <c r="C632" s="397"/>
      <c r="D632" s="453"/>
      <c r="E632" s="436"/>
      <c r="F632" s="418"/>
      <c r="G632" s="544">
        <f t="shared" si="86"/>
        <v>0</v>
      </c>
      <c r="H632" s="538">
        <f t="shared" si="87"/>
        <v>0</v>
      </c>
      <c r="I632" s="539">
        <f t="shared" si="88"/>
        <v>0</v>
      </c>
      <c r="J632" s="540"/>
      <c r="K632" s="403"/>
      <c r="L632" s="541">
        <f t="shared" si="89"/>
      </c>
      <c r="M632" s="542"/>
      <c r="N632" s="544">
        <v>0</v>
      </c>
      <c r="O632" s="542"/>
      <c r="P632" s="545">
        <f>BOKFØRT!C632</f>
        <v>0</v>
      </c>
      <c r="Q632" s="583">
        <f t="shared" si="90"/>
        <v>0</v>
      </c>
      <c r="R632" s="199"/>
      <c r="S632" s="199"/>
    </row>
    <row r="633" spans="1:19" s="1" customFormat="1" ht="12.75">
      <c r="A633" s="395">
        <v>422271</v>
      </c>
      <c r="B633" s="408" t="s">
        <v>265</v>
      </c>
      <c r="C633" s="397"/>
      <c r="D633" s="453"/>
      <c r="E633" s="436"/>
      <c r="F633" s="418"/>
      <c r="G633" s="544">
        <f t="shared" si="86"/>
        <v>0</v>
      </c>
      <c r="H633" s="538">
        <f t="shared" si="87"/>
        <v>0</v>
      </c>
      <c r="I633" s="539">
        <f t="shared" si="88"/>
        <v>0</v>
      </c>
      <c r="J633" s="540"/>
      <c r="K633" s="403"/>
      <c r="L633" s="541">
        <f t="shared" si="89"/>
      </c>
      <c r="M633" s="542"/>
      <c r="N633" s="544">
        <v>0</v>
      </c>
      <c r="O633" s="542"/>
      <c r="P633" s="545">
        <f>BOKFØRT!C633</f>
        <v>0</v>
      </c>
      <c r="Q633" s="583">
        <f t="shared" si="90"/>
        <v>0</v>
      </c>
      <c r="R633" s="199"/>
      <c r="S633" s="199"/>
    </row>
    <row r="634" spans="1:19" s="1" customFormat="1" ht="12.75">
      <c r="A634" s="395">
        <v>422280</v>
      </c>
      <c r="B634" s="408" t="s">
        <v>266</v>
      </c>
      <c r="C634" s="397"/>
      <c r="D634" s="453"/>
      <c r="E634" s="436"/>
      <c r="F634" s="418"/>
      <c r="G634" s="544">
        <f t="shared" si="86"/>
        <v>0</v>
      </c>
      <c r="H634" s="538">
        <f t="shared" si="87"/>
        <v>0</v>
      </c>
      <c r="I634" s="539">
        <f t="shared" si="88"/>
        <v>0</v>
      </c>
      <c r="J634" s="540"/>
      <c r="K634" s="403"/>
      <c r="L634" s="541">
        <f t="shared" si="89"/>
      </c>
      <c r="M634" s="542"/>
      <c r="N634" s="544">
        <v>0</v>
      </c>
      <c r="O634" s="542"/>
      <c r="P634" s="545">
        <f>BOKFØRT!C634</f>
        <v>0</v>
      </c>
      <c r="Q634" s="583">
        <f t="shared" si="90"/>
        <v>0</v>
      </c>
      <c r="R634" s="199"/>
      <c r="S634" s="199"/>
    </row>
    <row r="635" spans="1:19" s="1" customFormat="1" ht="12.75">
      <c r="A635" s="395">
        <v>422281</v>
      </c>
      <c r="B635" s="408" t="s">
        <v>267</v>
      </c>
      <c r="C635" s="397"/>
      <c r="D635" s="453"/>
      <c r="E635" s="436"/>
      <c r="F635" s="418"/>
      <c r="G635" s="544">
        <f t="shared" si="86"/>
        <v>0</v>
      </c>
      <c r="H635" s="538">
        <f t="shared" si="87"/>
        <v>0</v>
      </c>
      <c r="I635" s="539">
        <f t="shared" si="88"/>
        <v>0</v>
      </c>
      <c r="J635" s="540"/>
      <c r="K635" s="403"/>
      <c r="L635" s="541">
        <f t="shared" si="89"/>
      </c>
      <c r="M635" s="542"/>
      <c r="N635" s="544">
        <v>0</v>
      </c>
      <c r="O635" s="542"/>
      <c r="P635" s="545">
        <f>BOKFØRT!C635</f>
        <v>0</v>
      </c>
      <c r="Q635" s="583">
        <f t="shared" si="90"/>
        <v>0</v>
      </c>
      <c r="R635" s="199"/>
      <c r="S635" s="199"/>
    </row>
    <row r="636" spans="1:19" s="1" customFormat="1" ht="12.75">
      <c r="A636" s="395">
        <v>422282</v>
      </c>
      <c r="B636" s="408" t="s">
        <v>268</v>
      </c>
      <c r="C636" s="397"/>
      <c r="D636" s="453"/>
      <c r="E636" s="436"/>
      <c r="F636" s="418"/>
      <c r="G636" s="544">
        <f t="shared" si="86"/>
        <v>0</v>
      </c>
      <c r="H636" s="538">
        <f t="shared" si="87"/>
        <v>0</v>
      </c>
      <c r="I636" s="539">
        <f t="shared" si="88"/>
        <v>0</v>
      </c>
      <c r="J636" s="540"/>
      <c r="K636" s="403"/>
      <c r="L636" s="541">
        <f t="shared" si="89"/>
      </c>
      <c r="M636" s="542"/>
      <c r="N636" s="544">
        <v>0</v>
      </c>
      <c r="O636" s="542"/>
      <c r="P636" s="545">
        <f>BOKFØRT!C636</f>
        <v>0</v>
      </c>
      <c r="Q636" s="583">
        <f t="shared" si="90"/>
        <v>0</v>
      </c>
      <c r="R636" s="199"/>
      <c r="S636" s="199"/>
    </row>
    <row r="637" spans="1:19" s="1" customFormat="1" ht="12.75">
      <c r="A637" s="395">
        <v>422283</v>
      </c>
      <c r="B637" s="408" t="s">
        <v>269</v>
      </c>
      <c r="C637" s="397"/>
      <c r="D637" s="453"/>
      <c r="E637" s="436"/>
      <c r="F637" s="418"/>
      <c r="G637" s="544">
        <f t="shared" si="86"/>
        <v>0</v>
      </c>
      <c r="H637" s="538">
        <f t="shared" si="87"/>
        <v>0</v>
      </c>
      <c r="I637" s="539">
        <f t="shared" si="88"/>
        <v>0</v>
      </c>
      <c r="J637" s="540"/>
      <c r="K637" s="403"/>
      <c r="L637" s="541">
        <f t="shared" si="89"/>
      </c>
      <c r="M637" s="542"/>
      <c r="N637" s="544">
        <v>0</v>
      </c>
      <c r="O637" s="542"/>
      <c r="P637" s="545">
        <f>BOKFØRT!C637</f>
        <v>0</v>
      </c>
      <c r="Q637" s="583">
        <f>G637+N637+P637</f>
        <v>0</v>
      </c>
      <c r="R637" s="199"/>
      <c r="S637" s="199"/>
    </row>
    <row r="638" spans="1:19" s="1" customFormat="1" ht="12.75">
      <c r="A638" s="395">
        <v>422293</v>
      </c>
      <c r="B638" s="408" t="s">
        <v>768</v>
      </c>
      <c r="C638" s="397"/>
      <c r="D638" s="453"/>
      <c r="E638" s="436"/>
      <c r="F638" s="418"/>
      <c r="G638" s="544">
        <f t="shared" si="86"/>
        <v>0</v>
      </c>
      <c r="H638" s="538">
        <f t="shared" si="87"/>
        <v>0</v>
      </c>
      <c r="I638" s="539">
        <f t="shared" si="88"/>
        <v>0</v>
      </c>
      <c r="J638" s="540"/>
      <c r="K638" s="403"/>
      <c r="L638" s="541">
        <f t="shared" si="89"/>
      </c>
      <c r="M638" s="542"/>
      <c r="N638" s="544">
        <v>0</v>
      </c>
      <c r="O638" s="542"/>
      <c r="P638" s="545">
        <f>BOKFØRT!C638</f>
        <v>0</v>
      </c>
      <c r="Q638" s="583">
        <f t="shared" si="90"/>
        <v>0</v>
      </c>
      <c r="R638" s="199"/>
      <c r="S638" s="199"/>
    </row>
    <row r="639" spans="1:19" s="1" customFormat="1" ht="12.75">
      <c r="A639" s="395">
        <v>424095</v>
      </c>
      <c r="B639" s="408" t="s">
        <v>554</v>
      </c>
      <c r="C639" s="397"/>
      <c r="D639" s="455"/>
      <c r="E639" s="440"/>
      <c r="F639" s="413"/>
      <c r="G639" s="562">
        <f>SUM(I586:I638)</f>
        <v>0</v>
      </c>
      <c r="H639" s="414"/>
      <c r="I639" s="546" t="s">
        <v>555</v>
      </c>
      <c r="J639" s="546"/>
      <c r="K639" s="573"/>
      <c r="L639" s="541"/>
      <c r="M639" s="542"/>
      <c r="N639" s="562">
        <v>0</v>
      </c>
      <c r="O639" s="542"/>
      <c r="P639" s="545">
        <f>BOKFØRT!C639</f>
        <v>0</v>
      </c>
      <c r="Q639" s="583">
        <f t="shared" si="90"/>
        <v>0</v>
      </c>
      <c r="R639" s="199"/>
      <c r="S639" s="199"/>
    </row>
    <row r="640" spans="1:19" s="1" customFormat="1" ht="12.75">
      <c r="A640" s="395">
        <v>427210</v>
      </c>
      <c r="B640" s="420" t="s">
        <v>270</v>
      </c>
      <c r="C640" s="421"/>
      <c r="D640" s="422"/>
      <c r="E640" s="422"/>
      <c r="F640" s="423"/>
      <c r="G640" s="548">
        <f>IF(X=0,(IF(Me=0,Sa,Me*Sa)),(IF(Me=0,Sa*X,Me*X*Sa)))</f>
        <v>0</v>
      </c>
      <c r="H640" s="414"/>
      <c r="I640" s="540"/>
      <c r="J640" s="540"/>
      <c r="K640" s="403"/>
      <c r="L640" s="541">
        <f t="shared" si="89"/>
      </c>
      <c r="M640" s="542"/>
      <c r="N640" s="548">
        <v>0</v>
      </c>
      <c r="O640" s="542"/>
      <c r="P640" s="550">
        <f>BOKFØRT!C640</f>
        <v>0</v>
      </c>
      <c r="Q640" s="583">
        <f t="shared" si="90"/>
        <v>0</v>
      </c>
      <c r="R640" s="199"/>
      <c r="S640" s="199"/>
    </row>
    <row r="641" spans="1:19" s="1" customFormat="1" ht="13.5" thickBot="1">
      <c r="A641" s="445" t="s">
        <v>401</v>
      </c>
      <c r="B641" s="426"/>
      <c r="C641" s="451"/>
      <c r="D641" s="433"/>
      <c r="E641" s="434"/>
      <c r="F641" s="448" t="s">
        <v>570</v>
      </c>
      <c r="G641" s="558">
        <f>SUM(G586:G640)</f>
        <v>0</v>
      </c>
      <c r="H641" s="414"/>
      <c r="I641" s="555"/>
      <c r="J641" s="555"/>
      <c r="K641" s="394"/>
      <c r="L641" s="558">
        <f>SUM(L586:L640)</f>
        <v>0</v>
      </c>
      <c r="M641" s="542"/>
      <c r="N641" s="558">
        <v>0</v>
      </c>
      <c r="O641" s="542"/>
      <c r="P641" s="559">
        <f>SUM(P586:P640)</f>
        <v>0</v>
      </c>
      <c r="Q641" s="583">
        <f t="shared" si="90"/>
        <v>0</v>
      </c>
      <c r="R641" s="199"/>
      <c r="S641" s="199"/>
    </row>
    <row r="642" spans="1:19" s="1" customFormat="1" ht="0.75" customHeight="1" thickTop="1">
      <c r="A642" s="431"/>
      <c r="B642" s="432"/>
      <c r="C642" s="427"/>
      <c r="D642" s="433"/>
      <c r="E642" s="434"/>
      <c r="F642" s="448"/>
      <c r="G642" s="540"/>
      <c r="H642" s="414"/>
      <c r="I642" s="540"/>
      <c r="J642" s="540"/>
      <c r="K642" s="394"/>
      <c r="L642" s="555"/>
      <c r="M642" s="542"/>
      <c r="N642" s="540"/>
      <c r="O642" s="542"/>
      <c r="P642" s="561"/>
      <c r="Q642" s="583"/>
      <c r="R642" s="199"/>
      <c r="S642" s="199"/>
    </row>
    <row r="643" spans="1:19" s="1" customFormat="1" ht="24.75" customHeight="1" thickTop="1">
      <c r="A643" s="391" t="s">
        <v>620</v>
      </c>
      <c r="B643" s="456"/>
      <c r="C643" s="427"/>
      <c r="D643" s="511" t="s">
        <v>422</v>
      </c>
      <c r="E643" s="512" t="s">
        <v>423</v>
      </c>
      <c r="F643" s="511" t="s">
        <v>424</v>
      </c>
      <c r="G643" s="533" t="s">
        <v>425</v>
      </c>
      <c r="H643" s="511" t="s">
        <v>426</v>
      </c>
      <c r="I643" s="534" t="s">
        <v>427</v>
      </c>
      <c r="J643" s="534"/>
      <c r="K643" s="394"/>
      <c r="L643" s="533" t="s">
        <v>688</v>
      </c>
      <c r="M643" s="536"/>
      <c r="N643" s="533" t="s">
        <v>425</v>
      </c>
      <c r="O643" s="536"/>
      <c r="P643" s="533" t="s">
        <v>677</v>
      </c>
      <c r="Q643" s="583"/>
      <c r="R643" s="199"/>
      <c r="S643" s="199"/>
    </row>
    <row r="644" spans="1:19" s="1" customFormat="1" ht="12.75">
      <c r="A644" s="395">
        <v>442410</v>
      </c>
      <c r="B644" s="441" t="s">
        <v>407</v>
      </c>
      <c r="C644" s="397"/>
      <c r="D644" s="436"/>
      <c r="E644" s="436"/>
      <c r="F644" s="418"/>
      <c r="G644" s="537">
        <f>IF(X=0,(IF(Me=0,Sa,Me*Sa)),(IF(Me=0,Sa*X,Me*X*Sa)))</f>
        <v>0</v>
      </c>
      <c r="H644" s="538">
        <f>IF(Sum,Sos,0)</f>
        <v>0</v>
      </c>
      <c r="I644" s="539">
        <f>IF(Prosent&lt;&gt;0,(Sum*Prosent)/100,0)</f>
        <v>0</v>
      </c>
      <c r="J644" s="540"/>
      <c r="K644" s="403"/>
      <c r="L644" s="541">
        <f>IF(FMVAE&lt;&gt;"",(Sum*mva)-Sum,"")</f>
      </c>
      <c r="M644" s="542"/>
      <c r="N644" s="537">
        <v>0</v>
      </c>
      <c r="O644" s="542"/>
      <c r="P644" s="543">
        <f>BOKFØRT!C644</f>
        <v>0</v>
      </c>
      <c r="Q644" s="583">
        <f aca="true" t="shared" si="91" ref="Q644:Q665">G644+N644+P644</f>
        <v>0</v>
      </c>
      <c r="R644" s="199"/>
      <c r="S644" s="199"/>
    </row>
    <row r="645" spans="1:19" s="1" customFormat="1" ht="12.75">
      <c r="A645" s="395">
        <v>442411</v>
      </c>
      <c r="B645" s="408" t="s">
        <v>408</v>
      </c>
      <c r="C645" s="397"/>
      <c r="D645" s="438"/>
      <c r="E645" s="436"/>
      <c r="F645" s="439">
        <f>IF(D645=0,0,+G644)</f>
        <v>0</v>
      </c>
      <c r="G645" s="544">
        <f>IF(X=0,(IF(Me=0,Sa,Me*Sa)),(IF(Me=0,Sa*X,Me*X*Sa)))</f>
        <v>0</v>
      </c>
      <c r="H645" s="538">
        <f>IF(Sum,Sos,0)</f>
        <v>0</v>
      </c>
      <c r="I645" s="539">
        <f>IF(Prosent&lt;&gt;0,(Sum*Prosent)/100,0)</f>
        <v>0</v>
      </c>
      <c r="J645" s="540"/>
      <c r="K645" s="403"/>
      <c r="L645" s="541">
        <f>IF(FMVAE&lt;&gt;"",(Sum*mva)-Sum,"")</f>
      </c>
      <c r="M645" s="542"/>
      <c r="N645" s="544">
        <v>0</v>
      </c>
      <c r="O645" s="542"/>
      <c r="P645" s="545">
        <f>BOKFØRT!C645</f>
        <v>0</v>
      </c>
      <c r="Q645" s="583">
        <f t="shared" si="91"/>
        <v>0</v>
      </c>
      <c r="R645" s="199"/>
      <c r="S645" s="199"/>
    </row>
    <row r="646" spans="1:19" s="1" customFormat="1" ht="12.75">
      <c r="A646" s="395">
        <v>442426</v>
      </c>
      <c r="B646" s="408" t="s">
        <v>405</v>
      </c>
      <c r="C646" s="397"/>
      <c r="D646" s="436"/>
      <c r="E646" s="436"/>
      <c r="F646" s="418"/>
      <c r="G646" s="544">
        <f>IF(X=0,(IF(Me=0,Sa,Me*Sa)),(IF(Me=0,Sa*X,Me*X*Sa)))</f>
        <v>0</v>
      </c>
      <c r="H646" s="538">
        <f>IF(Sum,Sos,0)</f>
        <v>0</v>
      </c>
      <c r="I646" s="539">
        <f>IF(Prosent&lt;&gt;0,(Sum*Prosent)/100,0)</f>
        <v>0</v>
      </c>
      <c r="J646" s="540"/>
      <c r="K646" s="403" t="s">
        <v>423</v>
      </c>
      <c r="L646" s="541">
        <f>IF(FMVAE&lt;&gt;"",(Sum*mva)-Sum,"")</f>
        <v>0</v>
      </c>
      <c r="M646" s="542"/>
      <c r="N646" s="544">
        <v>0</v>
      </c>
      <c r="O646" s="542"/>
      <c r="P646" s="545">
        <f>BOKFØRT!C646</f>
        <v>0</v>
      </c>
      <c r="Q646" s="583">
        <f t="shared" si="91"/>
        <v>0</v>
      </c>
      <c r="R646" s="199"/>
      <c r="S646" s="199"/>
    </row>
    <row r="647" spans="1:19" s="1" customFormat="1" ht="12.75">
      <c r="A647" s="395">
        <v>442427</v>
      </c>
      <c r="B647" s="408" t="s">
        <v>406</v>
      </c>
      <c r="C647" s="397"/>
      <c r="D647" s="438"/>
      <c r="E647" s="436"/>
      <c r="F647" s="439">
        <f>IF(D647=0,0,+G646)</f>
        <v>0</v>
      </c>
      <c r="G647" s="544">
        <f>IF(X=0,(IF(Me=0,Sa,Me*Sa)),(IF(Me=0,Sa*X,Me*X*Sa)))</f>
        <v>0</v>
      </c>
      <c r="H647" s="538">
        <f>IF(Sum,Sos,0)</f>
        <v>0</v>
      </c>
      <c r="I647" s="539">
        <f>IF(Prosent&lt;&gt;0,(Sum*Prosent)/100,0)</f>
        <v>0</v>
      </c>
      <c r="J647" s="540"/>
      <c r="K647" s="403"/>
      <c r="L647" s="541">
        <f>IF(FMVAE&lt;&gt;"",(Sum*mva)-Sum,"")</f>
      </c>
      <c r="M647" s="542"/>
      <c r="N647" s="544">
        <v>0</v>
      </c>
      <c r="O647" s="542"/>
      <c r="P647" s="545">
        <f>BOKFØRT!C647</f>
        <v>0</v>
      </c>
      <c r="Q647" s="583">
        <f t="shared" si="91"/>
        <v>0</v>
      </c>
      <c r="R647" s="199"/>
      <c r="S647" s="199"/>
    </row>
    <row r="648" spans="1:19" s="1" customFormat="1" ht="12.75">
      <c r="A648" s="395">
        <v>444092</v>
      </c>
      <c r="B648" s="408" t="s">
        <v>590</v>
      </c>
      <c r="C648" s="397"/>
      <c r="D648" s="436"/>
      <c r="E648" s="436"/>
      <c r="F648" s="418"/>
      <c r="G648" s="544">
        <f>IF(X=0,(IF(Me=0,Sa,Me*Sa)),(IF(Me=0,Sa*X,Me*X*Sa)))</f>
        <v>0</v>
      </c>
      <c r="H648" s="538">
        <f>IF(Sum,Sos,0)</f>
        <v>0</v>
      </c>
      <c r="I648" s="539">
        <f>IF(Prosent&lt;&gt;0,(Sum*Prosent)/100,0)</f>
        <v>0</v>
      </c>
      <c r="J648" s="540"/>
      <c r="K648" s="403"/>
      <c r="L648" s="541">
        <f>IF(FMVAE&lt;&gt;"",(Sum*mva)-Sum,"")</f>
      </c>
      <c r="M648" s="542"/>
      <c r="N648" s="544">
        <v>0</v>
      </c>
      <c r="O648" s="542"/>
      <c r="P648" s="545">
        <f>BOKFØRT!C648</f>
        <v>0</v>
      </c>
      <c r="Q648" s="583">
        <f t="shared" si="91"/>
        <v>0</v>
      </c>
      <c r="R648" s="199"/>
      <c r="S648" s="199"/>
    </row>
    <row r="649" spans="1:19" s="1" customFormat="1" ht="12.75">
      <c r="A649" s="395">
        <v>444095</v>
      </c>
      <c r="B649" s="408" t="s">
        <v>554</v>
      </c>
      <c r="C649" s="397"/>
      <c r="D649" s="440"/>
      <c r="E649" s="440"/>
      <c r="F649" s="413"/>
      <c r="G649" s="562">
        <f>SUM(I644:I648)</f>
        <v>0</v>
      </c>
      <c r="H649" s="414"/>
      <c r="I649" s="546" t="s">
        <v>555</v>
      </c>
      <c r="J649" s="546"/>
      <c r="K649" s="573"/>
      <c r="L649" s="541"/>
      <c r="M649" s="542"/>
      <c r="N649" s="562">
        <v>0</v>
      </c>
      <c r="O649" s="542"/>
      <c r="P649" s="545">
        <f>BOKFØRT!C649</f>
        <v>0</v>
      </c>
      <c r="Q649" s="583">
        <f t="shared" si="91"/>
        <v>0</v>
      </c>
      <c r="R649" s="199"/>
      <c r="S649" s="199"/>
    </row>
    <row r="650" spans="1:19" s="1" customFormat="1" ht="12.75">
      <c r="A650" s="395">
        <v>449070</v>
      </c>
      <c r="B650" s="408" t="s">
        <v>565</v>
      </c>
      <c r="C650" s="397" t="s">
        <v>368</v>
      </c>
      <c r="D650" s="440"/>
      <c r="E650" s="440"/>
      <c r="F650" s="413"/>
      <c r="G650" s="544">
        <f>ESTIMATSPES!F24</f>
        <v>0</v>
      </c>
      <c r="H650" s="414"/>
      <c r="I650" s="540"/>
      <c r="J650" s="540"/>
      <c r="K650" s="403"/>
      <c r="L650" s="541">
        <f>ESTIMATSPES!I24</f>
        <v>0</v>
      </c>
      <c r="M650" s="542"/>
      <c r="N650" s="544">
        <v>0</v>
      </c>
      <c r="O650" s="542"/>
      <c r="P650" s="545">
        <f>BOKFØRT!C650</f>
        <v>0</v>
      </c>
      <c r="Q650" s="583">
        <f t="shared" si="91"/>
        <v>0</v>
      </c>
      <c r="R650" s="199"/>
      <c r="S650" s="199"/>
    </row>
    <row r="651" spans="1:19" s="1" customFormat="1" ht="12.75">
      <c r="A651" s="395">
        <v>449072</v>
      </c>
      <c r="B651" s="408" t="s">
        <v>566</v>
      </c>
      <c r="C651" s="397" t="s">
        <v>368</v>
      </c>
      <c r="D651" s="440"/>
      <c r="E651" s="440"/>
      <c r="F651" s="413"/>
      <c r="G651" s="544">
        <f>ESTIMATSPES!F48</f>
        <v>0</v>
      </c>
      <c r="H651" s="414"/>
      <c r="I651" s="540"/>
      <c r="J651" s="540"/>
      <c r="K651" s="403"/>
      <c r="L651" s="541">
        <f>ESTIMATSPES!I48</f>
        <v>0</v>
      </c>
      <c r="M651" s="542"/>
      <c r="N651" s="544">
        <v>0</v>
      </c>
      <c r="O651" s="542"/>
      <c r="P651" s="545">
        <f>BOKFØRT!C651</f>
        <v>0</v>
      </c>
      <c r="Q651" s="583">
        <f t="shared" si="91"/>
        <v>0</v>
      </c>
      <c r="R651" s="199"/>
      <c r="S651" s="199"/>
    </row>
    <row r="652" spans="1:19" s="1" customFormat="1" ht="12.75">
      <c r="A652" s="395">
        <v>449073</v>
      </c>
      <c r="B652" s="408" t="s">
        <v>567</v>
      </c>
      <c r="C652" s="397" t="s">
        <v>368</v>
      </c>
      <c r="D652" s="440"/>
      <c r="E652" s="440"/>
      <c r="F652" s="413"/>
      <c r="G652" s="544">
        <f>ESTIMATSPES!F72</f>
        <v>0</v>
      </c>
      <c r="H652" s="414"/>
      <c r="I652" s="540"/>
      <c r="J652" s="540"/>
      <c r="K652" s="403"/>
      <c r="L652" s="541">
        <f>ESTIMATSPES!I72</f>
        <v>0</v>
      </c>
      <c r="M652" s="542"/>
      <c r="N652" s="544">
        <v>0</v>
      </c>
      <c r="O652" s="542"/>
      <c r="P652" s="545">
        <f>BOKFØRT!C652</f>
        <v>0</v>
      </c>
      <c r="Q652" s="583">
        <f t="shared" si="91"/>
        <v>0</v>
      </c>
      <c r="R652" s="199"/>
      <c r="S652" s="199"/>
    </row>
    <row r="653" spans="1:19" s="1" customFormat="1" ht="12.75">
      <c r="A653" s="395">
        <v>449081</v>
      </c>
      <c r="B653" s="408" t="s">
        <v>599</v>
      </c>
      <c r="C653" s="397" t="s">
        <v>368</v>
      </c>
      <c r="D653" s="440"/>
      <c r="E653" s="440"/>
      <c r="F653" s="413"/>
      <c r="G653" s="544">
        <f>ESTIMATSPES!F96</f>
        <v>0</v>
      </c>
      <c r="H653" s="414"/>
      <c r="I653" s="540"/>
      <c r="J653" s="540"/>
      <c r="K653" s="403"/>
      <c r="L653" s="541">
        <f>ESTIMATSPES!I96</f>
        <v>0</v>
      </c>
      <c r="M653" s="542"/>
      <c r="N653" s="544">
        <v>0</v>
      </c>
      <c r="O653" s="542"/>
      <c r="P653" s="545">
        <f>BOKFØRT!C653</f>
        <v>0</v>
      </c>
      <c r="Q653" s="583">
        <f t="shared" si="91"/>
        <v>0</v>
      </c>
      <c r="R653" s="199"/>
      <c r="S653" s="199"/>
    </row>
    <row r="654" spans="1:19" s="1" customFormat="1" ht="12.75">
      <c r="A654" s="395">
        <v>449082</v>
      </c>
      <c r="B654" s="408" t="s">
        <v>600</v>
      </c>
      <c r="C654" s="397"/>
      <c r="D654" s="438"/>
      <c r="E654" s="436"/>
      <c r="F654" s="439">
        <f>IF(D654=0,0,+G653)</f>
        <v>0</v>
      </c>
      <c r="G654" s="544">
        <f aca="true" t="shared" si="92" ref="G654:G660">IF(X=0,(IF(Me=0,Sa,Me*Sa)),(IF(Me=0,Sa*X,Me*X*Sa)))</f>
        <v>0</v>
      </c>
      <c r="H654" s="414"/>
      <c r="I654" s="540"/>
      <c r="J654" s="540"/>
      <c r="K654" s="403"/>
      <c r="L654" s="541">
        <f aca="true" t="shared" si="93" ref="L654:L660">IF(FMVAE&lt;&gt;"",(Sum*mva)-Sum,"")</f>
      </c>
      <c r="M654" s="542"/>
      <c r="N654" s="544">
        <v>0</v>
      </c>
      <c r="O654" s="542"/>
      <c r="P654" s="545">
        <f>BOKFØRT!C654</f>
        <v>0</v>
      </c>
      <c r="Q654" s="583">
        <f t="shared" si="91"/>
        <v>0</v>
      </c>
      <c r="R654" s="199"/>
      <c r="S654" s="199"/>
    </row>
    <row r="655" spans="1:19" s="1" customFormat="1" ht="12.75">
      <c r="A655" s="395">
        <v>449083</v>
      </c>
      <c r="B655" s="441" t="s">
        <v>601</v>
      </c>
      <c r="C655" s="397"/>
      <c r="D655" s="436"/>
      <c r="E655" s="436"/>
      <c r="F655" s="418"/>
      <c r="G655" s="544">
        <f t="shared" si="92"/>
        <v>0</v>
      </c>
      <c r="H655" s="414"/>
      <c r="I655" s="540"/>
      <c r="J655" s="540"/>
      <c r="K655" s="403"/>
      <c r="L655" s="541">
        <f t="shared" si="93"/>
      </c>
      <c r="M655" s="542"/>
      <c r="N655" s="544">
        <v>0</v>
      </c>
      <c r="O655" s="542"/>
      <c r="P655" s="545">
        <f>BOKFØRT!C655</f>
        <v>0</v>
      </c>
      <c r="Q655" s="583">
        <f t="shared" si="91"/>
        <v>0</v>
      </c>
      <c r="R655" s="199"/>
      <c r="S655" s="199"/>
    </row>
    <row r="656" spans="1:19" s="1" customFormat="1" ht="12.75">
      <c r="A656" s="395">
        <v>449084</v>
      </c>
      <c r="B656" s="408" t="s">
        <v>602</v>
      </c>
      <c r="C656" s="397"/>
      <c r="D656" s="438"/>
      <c r="E656" s="436"/>
      <c r="F656" s="439">
        <f>IF(D656=0,0,+G655)</f>
        <v>0</v>
      </c>
      <c r="G656" s="544">
        <f t="shared" si="92"/>
        <v>0</v>
      </c>
      <c r="H656" s="414"/>
      <c r="I656" s="540"/>
      <c r="J656" s="540"/>
      <c r="K656" s="403"/>
      <c r="L656" s="541">
        <f t="shared" si="93"/>
      </c>
      <c r="M656" s="542"/>
      <c r="N656" s="544">
        <v>0</v>
      </c>
      <c r="O656" s="542"/>
      <c r="P656" s="545">
        <f>BOKFØRT!C656</f>
        <v>0</v>
      </c>
      <c r="Q656" s="583">
        <f t="shared" si="91"/>
        <v>0</v>
      </c>
      <c r="R656" s="199"/>
      <c r="S656" s="199"/>
    </row>
    <row r="657" spans="1:19" s="1" customFormat="1" ht="12.75">
      <c r="A657" s="395">
        <v>449085</v>
      </c>
      <c r="B657" s="408" t="s">
        <v>603</v>
      </c>
      <c r="C657" s="397"/>
      <c r="D657" s="436"/>
      <c r="E657" s="436"/>
      <c r="F657" s="418"/>
      <c r="G657" s="544">
        <f t="shared" si="92"/>
        <v>0</v>
      </c>
      <c r="H657" s="414"/>
      <c r="I657" s="540"/>
      <c r="J657" s="540"/>
      <c r="K657" s="403"/>
      <c r="L657" s="541">
        <f t="shared" si="93"/>
      </c>
      <c r="M657" s="542"/>
      <c r="N657" s="544">
        <v>0</v>
      </c>
      <c r="O657" s="542"/>
      <c r="P657" s="545">
        <f>BOKFØRT!C657</f>
        <v>0</v>
      </c>
      <c r="Q657" s="583">
        <f t="shared" si="91"/>
        <v>0</v>
      </c>
      <c r="R657" s="199"/>
      <c r="S657" s="199"/>
    </row>
    <row r="658" spans="1:19" s="1" customFormat="1" ht="12.75">
      <c r="A658" s="395">
        <v>449090</v>
      </c>
      <c r="B658" s="408" t="s">
        <v>604</v>
      </c>
      <c r="C658" s="397"/>
      <c r="D658" s="438"/>
      <c r="E658" s="436"/>
      <c r="F658" s="439">
        <f>IF(D658=0,0,+G657)</f>
        <v>0</v>
      </c>
      <c r="G658" s="544">
        <f t="shared" si="92"/>
        <v>0</v>
      </c>
      <c r="H658" s="414"/>
      <c r="I658" s="540"/>
      <c r="J658" s="540"/>
      <c r="K658" s="403"/>
      <c r="L658" s="541">
        <f t="shared" si="93"/>
      </c>
      <c r="M658" s="542"/>
      <c r="N658" s="544">
        <v>0</v>
      </c>
      <c r="O658" s="542"/>
      <c r="P658" s="545">
        <f>BOKFØRT!C658</f>
        <v>0</v>
      </c>
      <c r="Q658" s="583">
        <f t="shared" si="91"/>
        <v>0</v>
      </c>
      <c r="R658" s="199"/>
      <c r="S658" s="199"/>
    </row>
    <row r="659" spans="1:19" s="1" customFormat="1" ht="12.75">
      <c r="A659" s="395">
        <v>449091</v>
      </c>
      <c r="B659" s="408" t="s">
        <v>605</v>
      </c>
      <c r="C659" s="397"/>
      <c r="D659" s="436"/>
      <c r="E659" s="436"/>
      <c r="F659" s="418"/>
      <c r="G659" s="544">
        <f t="shared" si="92"/>
        <v>0</v>
      </c>
      <c r="H659" s="414"/>
      <c r="I659" s="540"/>
      <c r="J659" s="540"/>
      <c r="K659" s="403"/>
      <c r="L659" s="541">
        <f t="shared" si="93"/>
      </c>
      <c r="M659" s="542"/>
      <c r="N659" s="544">
        <v>0</v>
      </c>
      <c r="O659" s="542"/>
      <c r="P659" s="545">
        <f>BOKFØRT!C659</f>
        <v>0</v>
      </c>
      <c r="Q659" s="583">
        <f t="shared" si="91"/>
        <v>0</v>
      </c>
      <c r="R659" s="199"/>
      <c r="S659" s="199"/>
    </row>
    <row r="660" spans="1:19" s="1" customFormat="1" ht="12.75">
      <c r="A660" s="395">
        <v>449092</v>
      </c>
      <c r="B660" s="408" t="s">
        <v>606</v>
      </c>
      <c r="C660" s="397"/>
      <c r="D660" s="438"/>
      <c r="E660" s="436"/>
      <c r="F660" s="439">
        <f>IF(D660=0,0,+G659)</f>
        <v>0</v>
      </c>
      <c r="G660" s="544">
        <f t="shared" si="92"/>
        <v>0</v>
      </c>
      <c r="H660" s="414"/>
      <c r="I660" s="540"/>
      <c r="J660" s="540"/>
      <c r="K660" s="403"/>
      <c r="L660" s="541">
        <f t="shared" si="93"/>
      </c>
      <c r="M660" s="542"/>
      <c r="N660" s="544">
        <v>0</v>
      </c>
      <c r="O660" s="542"/>
      <c r="P660" s="545">
        <f>BOKFØRT!C660</f>
        <v>0</v>
      </c>
      <c r="Q660" s="583">
        <f t="shared" si="91"/>
        <v>0</v>
      </c>
      <c r="R660" s="199"/>
      <c r="S660" s="199"/>
    </row>
    <row r="661" spans="1:19" s="1" customFormat="1" ht="12.75">
      <c r="A661" s="395">
        <v>449093</v>
      </c>
      <c r="B661" s="408" t="s">
        <v>569</v>
      </c>
      <c r="C661" s="397"/>
      <c r="D661" s="440"/>
      <c r="E661" s="440"/>
      <c r="F661" s="413"/>
      <c r="G661" s="544">
        <f>ESTIMATSPES!F120</f>
        <v>0</v>
      </c>
      <c r="H661" s="414"/>
      <c r="I661" s="540"/>
      <c r="J661" s="540"/>
      <c r="K661" s="403"/>
      <c r="L661" s="541">
        <f>ESTIMATSPES!I120</f>
        <v>0</v>
      </c>
      <c r="M661" s="542"/>
      <c r="N661" s="544">
        <v>0</v>
      </c>
      <c r="O661" s="542"/>
      <c r="P661" s="545">
        <f>BOKFØRT!C661</f>
        <v>0</v>
      </c>
      <c r="Q661" s="583">
        <f t="shared" si="91"/>
        <v>0</v>
      </c>
      <c r="R661" s="199"/>
      <c r="S661" s="199"/>
    </row>
    <row r="662" spans="1:19" s="1" customFormat="1" ht="12.75">
      <c r="A662" s="395">
        <v>449096</v>
      </c>
      <c r="B662" s="408" t="s">
        <v>271</v>
      </c>
      <c r="C662" s="397"/>
      <c r="D662" s="436"/>
      <c r="E662" s="436"/>
      <c r="F662" s="418"/>
      <c r="G662" s="544">
        <f>IF(X=0,(IF(Me=0,Sa,Me*Sa)),(IF(Me=0,Sa*X,Me*X*Sa)))</f>
        <v>0</v>
      </c>
      <c r="H662" s="414"/>
      <c r="I662" s="540"/>
      <c r="J662" s="540"/>
      <c r="K662" s="403"/>
      <c r="L662" s="541">
        <f>IF(FMVAE&lt;&gt;"",(Sum*mva)-Sum,"")</f>
      </c>
      <c r="M662" s="542"/>
      <c r="N662" s="544">
        <v>0</v>
      </c>
      <c r="O662" s="542"/>
      <c r="P662" s="545">
        <f>BOKFØRT!C662</f>
        <v>0</v>
      </c>
      <c r="Q662" s="583">
        <f t="shared" si="91"/>
        <v>0</v>
      </c>
      <c r="R662" s="199"/>
      <c r="S662" s="199"/>
    </row>
    <row r="663" spans="1:19" s="1" customFormat="1" ht="12.75">
      <c r="A663" s="395">
        <v>449098</v>
      </c>
      <c r="B663" s="408" t="s">
        <v>25</v>
      </c>
      <c r="C663" s="397"/>
      <c r="D663" s="440"/>
      <c r="E663" s="440"/>
      <c r="F663" s="413"/>
      <c r="G663" s="544">
        <f>ESTIMATSPES!F144</f>
        <v>0</v>
      </c>
      <c r="H663" s="414"/>
      <c r="I663" s="540"/>
      <c r="J663" s="540"/>
      <c r="K663" s="403"/>
      <c r="L663" s="541">
        <f>ESTIMATSPES!I144</f>
        <v>0</v>
      </c>
      <c r="M663" s="542"/>
      <c r="N663" s="544">
        <v>0</v>
      </c>
      <c r="O663" s="542"/>
      <c r="P663" s="545">
        <f>BOKFØRT!C663</f>
        <v>0</v>
      </c>
      <c r="Q663" s="583">
        <f t="shared" si="91"/>
        <v>0</v>
      </c>
      <c r="R663" s="199"/>
      <c r="S663" s="199"/>
    </row>
    <row r="664" spans="1:19" s="1" customFormat="1" ht="12.75">
      <c r="A664" s="395">
        <v>449099</v>
      </c>
      <c r="B664" s="420" t="s">
        <v>26</v>
      </c>
      <c r="C664" s="421"/>
      <c r="D664" s="422"/>
      <c r="E664" s="422"/>
      <c r="F664" s="423"/>
      <c r="G664" s="548">
        <f>IF(X=0,(IF(Me=0,Sa,Me*Sa)),(IF(Me=0,Sa*X,Me*X*Sa)))</f>
        <v>0</v>
      </c>
      <c r="H664" s="414"/>
      <c r="I664" s="540"/>
      <c r="J664" s="540"/>
      <c r="K664" s="403"/>
      <c r="L664" s="541">
        <f>IF(FMVAE&lt;&gt;"",(Sum*mva)-Sum,"")</f>
      </c>
      <c r="M664" s="542"/>
      <c r="N664" s="548">
        <v>0</v>
      </c>
      <c r="O664" s="542"/>
      <c r="P664" s="550">
        <f>BOKFØRT!C664</f>
        <v>0</v>
      </c>
      <c r="Q664" s="583">
        <f t="shared" si="91"/>
        <v>0</v>
      </c>
      <c r="R664" s="199"/>
      <c r="S664" s="199"/>
    </row>
    <row r="665" spans="1:19" s="1" customFormat="1" ht="13.5" thickBot="1">
      <c r="A665" s="445" t="s">
        <v>401</v>
      </c>
      <c r="B665" s="426"/>
      <c r="C665" s="451"/>
      <c r="D665" s="433"/>
      <c r="E665" s="434"/>
      <c r="F665" s="448" t="s">
        <v>570</v>
      </c>
      <c r="G665" s="558">
        <f>SUM(G644:G664)</f>
        <v>0</v>
      </c>
      <c r="H665" s="414"/>
      <c r="I665" s="555"/>
      <c r="J665" s="555"/>
      <c r="K665" s="394"/>
      <c r="L665" s="558">
        <f>SUM(L644:L664)</f>
        <v>0</v>
      </c>
      <c r="M665" s="542"/>
      <c r="N665" s="558">
        <v>0</v>
      </c>
      <c r="O665" s="542"/>
      <c r="P665" s="559">
        <f>SUM(P644:P664)</f>
        <v>0</v>
      </c>
      <c r="Q665" s="583">
        <f t="shared" si="91"/>
        <v>0</v>
      </c>
      <c r="R665" s="199"/>
      <c r="S665" s="199"/>
    </row>
    <row r="666" spans="1:19" s="1" customFormat="1" ht="0.75" customHeight="1" thickTop="1">
      <c r="A666" s="431"/>
      <c r="B666" s="432"/>
      <c r="C666" s="427"/>
      <c r="D666" s="433"/>
      <c r="E666" s="434"/>
      <c r="F666" s="433"/>
      <c r="G666" s="555"/>
      <c r="H666" s="414"/>
      <c r="I666" s="555"/>
      <c r="J666" s="555"/>
      <c r="K666" s="394"/>
      <c r="L666" s="555"/>
      <c r="M666" s="542"/>
      <c r="N666" s="555"/>
      <c r="O666" s="542"/>
      <c r="P666" s="565"/>
      <c r="Q666" s="583"/>
      <c r="R666" s="199"/>
      <c r="S666" s="199"/>
    </row>
    <row r="667" spans="1:19" s="1" customFormat="1" ht="24.75" customHeight="1" thickTop="1">
      <c r="A667" s="391" t="s">
        <v>531</v>
      </c>
      <c r="B667" s="435"/>
      <c r="C667" s="427"/>
      <c r="D667" s="511" t="s">
        <v>422</v>
      </c>
      <c r="E667" s="512" t="s">
        <v>423</v>
      </c>
      <c r="F667" s="511" t="s">
        <v>424</v>
      </c>
      <c r="G667" s="533" t="s">
        <v>425</v>
      </c>
      <c r="H667" s="511" t="s">
        <v>426</v>
      </c>
      <c r="I667" s="534" t="s">
        <v>427</v>
      </c>
      <c r="J667" s="534"/>
      <c r="K667" s="394"/>
      <c r="L667" s="533" t="s">
        <v>688</v>
      </c>
      <c r="M667" s="536"/>
      <c r="N667" s="533" t="s">
        <v>425</v>
      </c>
      <c r="O667" s="536"/>
      <c r="P667" s="533" t="s">
        <v>677</v>
      </c>
      <c r="Q667" s="583"/>
      <c r="R667" s="199"/>
      <c r="S667" s="199"/>
    </row>
    <row r="668" spans="1:19" s="1" customFormat="1" ht="12.75">
      <c r="A668" s="395">
        <v>511116</v>
      </c>
      <c r="B668" s="408" t="s">
        <v>200</v>
      </c>
      <c r="C668" s="397"/>
      <c r="D668" s="436"/>
      <c r="E668" s="436"/>
      <c r="F668" s="418"/>
      <c r="G668" s="537">
        <f>IF(X=0,(IF(Me=0,Sa,Me*Sa)),(IF(Me=0,Sa*X,Me*X*Sa)))</f>
        <v>0</v>
      </c>
      <c r="H668" s="538">
        <f>IF(Sum,Sos,0)</f>
        <v>0</v>
      </c>
      <c r="I668" s="539">
        <f>IF(Prosent&lt;&gt;0,(Sum*Prosent)/100,0)</f>
        <v>0</v>
      </c>
      <c r="J668" s="540"/>
      <c r="K668" s="403"/>
      <c r="L668" s="541">
        <f aca="true" t="shared" si="94" ref="L668:L707">IF(FMVAE&lt;&gt;"",(Sum*mva)-Sum,"")</f>
      </c>
      <c r="M668" s="542"/>
      <c r="N668" s="537">
        <v>0</v>
      </c>
      <c r="O668" s="542"/>
      <c r="P668" s="543">
        <f>BOKFØRT!C668</f>
        <v>0</v>
      </c>
      <c r="Q668" s="583">
        <f aca="true" t="shared" si="95" ref="Q668:Q708">G668+N668+P668</f>
        <v>0</v>
      </c>
      <c r="R668" s="199"/>
      <c r="S668" s="199"/>
    </row>
    <row r="669" spans="1:19" s="1" customFormat="1" ht="12.75">
      <c r="A669" s="395">
        <v>511120</v>
      </c>
      <c r="B669" s="408" t="s">
        <v>571</v>
      </c>
      <c r="C669" s="397"/>
      <c r="D669" s="436"/>
      <c r="E669" s="436"/>
      <c r="F669" s="418"/>
      <c r="G669" s="566">
        <f aca="true" t="shared" si="96" ref="G669:G676">IF(X=0,(IF(Me=0,Sa,Me*Sa)),(IF(Me=0,Sa*X,Me*X*Sa)))</f>
        <v>0</v>
      </c>
      <c r="H669" s="538">
        <f aca="true" t="shared" si="97" ref="H669:H676">IF(Sum,Sos,0)</f>
        <v>0</v>
      </c>
      <c r="I669" s="539">
        <f aca="true" t="shared" si="98" ref="I669:I676">IF(Prosent&lt;&gt;0,(Sum*Prosent)/100,0)</f>
        <v>0</v>
      </c>
      <c r="J669" s="540"/>
      <c r="K669" s="403"/>
      <c r="L669" s="541">
        <f t="shared" si="94"/>
      </c>
      <c r="M669" s="542"/>
      <c r="N669" s="566">
        <v>0</v>
      </c>
      <c r="O669" s="542"/>
      <c r="P669" s="545">
        <f>BOKFØRT!C669</f>
        <v>0</v>
      </c>
      <c r="Q669" s="583">
        <f t="shared" si="95"/>
        <v>0</v>
      </c>
      <c r="R669" s="199"/>
      <c r="S669" s="199"/>
    </row>
    <row r="670" spans="1:19" s="1" customFormat="1" ht="12.75">
      <c r="A670" s="395">
        <v>511126</v>
      </c>
      <c r="B670" s="408" t="s">
        <v>572</v>
      </c>
      <c r="C670" s="397"/>
      <c r="D670" s="436"/>
      <c r="E670" s="436"/>
      <c r="F670" s="418"/>
      <c r="G670" s="544">
        <f t="shared" si="96"/>
        <v>0</v>
      </c>
      <c r="H670" s="538">
        <f t="shared" si="97"/>
        <v>0</v>
      </c>
      <c r="I670" s="539">
        <f t="shared" si="98"/>
        <v>0</v>
      </c>
      <c r="J670" s="540"/>
      <c r="K670" s="403"/>
      <c r="L670" s="541">
        <f t="shared" si="94"/>
      </c>
      <c r="M670" s="542"/>
      <c r="N670" s="544">
        <v>0</v>
      </c>
      <c r="O670" s="542"/>
      <c r="P670" s="545">
        <f>BOKFØRT!C670</f>
        <v>0</v>
      </c>
      <c r="Q670" s="583">
        <f t="shared" si="95"/>
        <v>0</v>
      </c>
      <c r="R670" s="199"/>
      <c r="S670" s="199"/>
    </row>
    <row r="671" spans="1:19" s="1" customFormat="1" ht="12.75">
      <c r="A671" s="395">
        <v>511127</v>
      </c>
      <c r="B671" s="437" t="s">
        <v>573</v>
      </c>
      <c r="C671" s="397"/>
      <c r="D671" s="438"/>
      <c r="E671" s="436"/>
      <c r="F671" s="439">
        <f>IF(D671=0,0,+G670)</f>
        <v>0</v>
      </c>
      <c r="G671" s="544">
        <f t="shared" si="96"/>
        <v>0</v>
      </c>
      <c r="H671" s="538">
        <f t="shared" si="97"/>
        <v>0</v>
      </c>
      <c r="I671" s="539">
        <f t="shared" si="98"/>
        <v>0</v>
      </c>
      <c r="J671" s="540"/>
      <c r="K671" s="403"/>
      <c r="L671" s="541">
        <f t="shared" si="94"/>
      </c>
      <c r="M671" s="542"/>
      <c r="N671" s="544">
        <v>0</v>
      </c>
      <c r="O671" s="542"/>
      <c r="P671" s="545">
        <f>BOKFØRT!C671</f>
        <v>0</v>
      </c>
      <c r="Q671" s="583">
        <f t="shared" si="95"/>
        <v>0</v>
      </c>
      <c r="R671" s="199"/>
      <c r="S671" s="199"/>
    </row>
    <row r="672" spans="1:19" s="1" customFormat="1" ht="12.75">
      <c r="A672" s="395">
        <v>511160</v>
      </c>
      <c r="B672" s="408" t="s">
        <v>623</v>
      </c>
      <c r="C672" s="397"/>
      <c r="D672" s="436"/>
      <c r="E672" s="436"/>
      <c r="F672" s="418"/>
      <c r="G672" s="544">
        <f t="shared" si="96"/>
        <v>0</v>
      </c>
      <c r="H672" s="538">
        <f t="shared" si="97"/>
        <v>0</v>
      </c>
      <c r="I672" s="539">
        <f t="shared" si="98"/>
        <v>0</v>
      </c>
      <c r="J672" s="540"/>
      <c r="K672" s="403"/>
      <c r="L672" s="541">
        <f t="shared" si="94"/>
      </c>
      <c r="M672" s="542"/>
      <c r="N672" s="544">
        <v>0</v>
      </c>
      <c r="O672" s="542"/>
      <c r="P672" s="545">
        <f>BOKFØRT!C672</f>
        <v>0</v>
      </c>
      <c r="Q672" s="583">
        <f t="shared" si="95"/>
        <v>0</v>
      </c>
      <c r="R672" s="199"/>
      <c r="S672" s="199"/>
    </row>
    <row r="673" spans="1:19" s="1" customFormat="1" ht="12.75">
      <c r="A673" s="395">
        <v>511161</v>
      </c>
      <c r="B673" s="437" t="s">
        <v>276</v>
      </c>
      <c r="C673" s="397"/>
      <c r="D673" s="438"/>
      <c r="E673" s="436"/>
      <c r="F673" s="439">
        <f>IF(D673=0,0,+G672)</f>
        <v>0</v>
      </c>
      <c r="G673" s="544">
        <f t="shared" si="96"/>
        <v>0</v>
      </c>
      <c r="H673" s="538">
        <f t="shared" si="97"/>
        <v>0</v>
      </c>
      <c r="I673" s="539">
        <f t="shared" si="98"/>
        <v>0</v>
      </c>
      <c r="J673" s="540"/>
      <c r="K673" s="403"/>
      <c r="L673" s="541">
        <f t="shared" si="94"/>
      </c>
      <c r="M673" s="542"/>
      <c r="N673" s="544">
        <v>0</v>
      </c>
      <c r="O673" s="542"/>
      <c r="P673" s="545">
        <f>BOKFØRT!C673</f>
        <v>0</v>
      </c>
      <c r="Q673" s="583">
        <f t="shared" si="95"/>
        <v>0</v>
      </c>
      <c r="R673" s="199"/>
      <c r="S673" s="199"/>
    </row>
    <row r="674" spans="1:19" s="1" customFormat="1" ht="12.75">
      <c r="A674" s="395">
        <v>514090</v>
      </c>
      <c r="B674" s="408" t="s">
        <v>552</v>
      </c>
      <c r="C674" s="397"/>
      <c r="D674" s="436"/>
      <c r="E674" s="436"/>
      <c r="F674" s="418"/>
      <c r="G674" s="544">
        <f t="shared" si="96"/>
        <v>0</v>
      </c>
      <c r="H674" s="538">
        <f t="shared" si="97"/>
        <v>0</v>
      </c>
      <c r="I674" s="539">
        <f t="shared" si="98"/>
        <v>0</v>
      </c>
      <c r="J674" s="540"/>
      <c r="K674" s="403"/>
      <c r="L674" s="541">
        <f t="shared" si="94"/>
      </c>
      <c r="M674" s="542"/>
      <c r="N674" s="544">
        <v>0</v>
      </c>
      <c r="O674" s="542"/>
      <c r="P674" s="545">
        <f>BOKFØRT!C674</f>
        <v>0</v>
      </c>
      <c r="Q674" s="583">
        <f t="shared" si="95"/>
        <v>0</v>
      </c>
      <c r="R674" s="199"/>
      <c r="S674" s="199"/>
    </row>
    <row r="675" spans="1:19" s="1" customFormat="1" ht="12.75">
      <c r="A675" s="395">
        <v>514091</v>
      </c>
      <c r="B675" s="408" t="s">
        <v>553</v>
      </c>
      <c r="C675" s="397"/>
      <c r="D675" s="438"/>
      <c r="E675" s="436"/>
      <c r="F675" s="439">
        <f>IF(D675=0,0,+G674)</f>
        <v>0</v>
      </c>
      <c r="G675" s="544">
        <f t="shared" si="96"/>
        <v>0</v>
      </c>
      <c r="H675" s="538">
        <f t="shared" si="97"/>
        <v>0</v>
      </c>
      <c r="I675" s="539">
        <f t="shared" si="98"/>
        <v>0</v>
      </c>
      <c r="J675" s="540"/>
      <c r="K675" s="403"/>
      <c r="L675" s="541">
        <f t="shared" si="94"/>
      </c>
      <c r="M675" s="542"/>
      <c r="N675" s="544">
        <v>0</v>
      </c>
      <c r="O675" s="542"/>
      <c r="P675" s="545">
        <f>BOKFØRT!C675</f>
        <v>0</v>
      </c>
      <c r="Q675" s="583">
        <f t="shared" si="95"/>
        <v>0</v>
      </c>
      <c r="R675" s="199"/>
      <c r="S675" s="199"/>
    </row>
    <row r="676" spans="1:19" s="1" customFormat="1" ht="12.75">
      <c r="A676" s="395">
        <v>514092</v>
      </c>
      <c r="B676" s="408" t="s">
        <v>590</v>
      </c>
      <c r="C676" s="397"/>
      <c r="D676" s="436"/>
      <c r="E676" s="436"/>
      <c r="F676" s="418"/>
      <c r="G676" s="544">
        <f t="shared" si="96"/>
        <v>0</v>
      </c>
      <c r="H676" s="538">
        <f t="shared" si="97"/>
        <v>0</v>
      </c>
      <c r="I676" s="539">
        <f t="shared" si="98"/>
        <v>0</v>
      </c>
      <c r="J676" s="540"/>
      <c r="K676" s="403"/>
      <c r="L676" s="541">
        <f t="shared" si="94"/>
      </c>
      <c r="M676" s="542"/>
      <c r="N676" s="544">
        <v>0</v>
      </c>
      <c r="O676" s="542"/>
      <c r="P676" s="545">
        <f>BOKFØRT!C676</f>
        <v>0</v>
      </c>
      <c r="Q676" s="583">
        <f t="shared" si="95"/>
        <v>0</v>
      </c>
      <c r="R676" s="199"/>
      <c r="S676" s="199"/>
    </row>
    <row r="677" spans="1:19" s="1" customFormat="1" ht="12.75">
      <c r="A677" s="395">
        <v>514095</v>
      </c>
      <c r="B677" s="408" t="s">
        <v>554</v>
      </c>
      <c r="C677" s="397"/>
      <c r="D677" s="440"/>
      <c r="E677" s="440"/>
      <c r="F677" s="449"/>
      <c r="G677" s="562">
        <f>SUM(I668:I676)</f>
        <v>0</v>
      </c>
      <c r="H677" s="414"/>
      <c r="I677" s="546" t="s">
        <v>555</v>
      </c>
      <c r="J677" s="546"/>
      <c r="K677" s="573"/>
      <c r="L677" s="541"/>
      <c r="M677" s="542"/>
      <c r="N677" s="562">
        <v>0</v>
      </c>
      <c r="O677" s="542"/>
      <c r="P677" s="545">
        <f>BOKFØRT!C677</f>
        <v>0</v>
      </c>
      <c r="Q677" s="583">
        <f t="shared" si="95"/>
        <v>0</v>
      </c>
      <c r="R677" s="199"/>
      <c r="S677" s="199"/>
    </row>
    <row r="678" spans="1:19" s="1" customFormat="1" ht="12.75">
      <c r="A678" s="395">
        <v>516150</v>
      </c>
      <c r="B678" s="408" t="s">
        <v>277</v>
      </c>
      <c r="C678" s="397"/>
      <c r="D678" s="436"/>
      <c r="E678" s="436"/>
      <c r="F678" s="418"/>
      <c r="G678" s="544">
        <f aca="true" t="shared" si="99" ref="G678:G707">IF(X=0,(IF(Me=0,Sa,Me*Sa)),(IF(Me=0,Sa*X,Me*X*Sa)))</f>
        <v>0</v>
      </c>
      <c r="H678" s="414"/>
      <c r="I678" s="540"/>
      <c r="J678" s="540"/>
      <c r="K678" s="403"/>
      <c r="L678" s="541">
        <f t="shared" si="94"/>
      </c>
      <c r="M678" s="542"/>
      <c r="N678" s="544">
        <v>0</v>
      </c>
      <c r="O678" s="542"/>
      <c r="P678" s="545">
        <f>BOKFØRT!C678</f>
        <v>0</v>
      </c>
      <c r="Q678" s="583">
        <f t="shared" si="95"/>
        <v>0</v>
      </c>
      <c r="R678" s="199"/>
      <c r="S678" s="199"/>
    </row>
    <row r="679" spans="1:19" s="1" customFormat="1" ht="12.75">
      <c r="A679" s="395">
        <v>516151</v>
      </c>
      <c r="B679" s="437" t="s">
        <v>278</v>
      </c>
      <c r="C679" s="397"/>
      <c r="D679" s="436"/>
      <c r="E679" s="436"/>
      <c r="F679" s="418"/>
      <c r="G679" s="544">
        <f t="shared" si="99"/>
        <v>0</v>
      </c>
      <c r="H679" s="414"/>
      <c r="I679" s="540"/>
      <c r="J679" s="540"/>
      <c r="K679" s="403"/>
      <c r="L679" s="541">
        <f t="shared" si="94"/>
      </c>
      <c r="M679" s="542"/>
      <c r="N679" s="544">
        <v>0</v>
      </c>
      <c r="O679" s="542"/>
      <c r="P679" s="545">
        <f>BOKFØRT!C679</f>
        <v>0</v>
      </c>
      <c r="Q679" s="583">
        <f t="shared" si="95"/>
        <v>0</v>
      </c>
      <c r="R679" s="199"/>
      <c r="S679" s="199"/>
    </row>
    <row r="680" spans="1:19" s="1" customFormat="1" ht="12.75">
      <c r="A680" s="395">
        <v>516152</v>
      </c>
      <c r="B680" s="408" t="s">
        <v>279</v>
      </c>
      <c r="C680" s="397"/>
      <c r="D680" s="436"/>
      <c r="E680" s="436"/>
      <c r="F680" s="418"/>
      <c r="G680" s="544">
        <f t="shared" si="99"/>
        <v>0</v>
      </c>
      <c r="H680" s="414"/>
      <c r="I680" s="540"/>
      <c r="J680" s="540"/>
      <c r="K680" s="403"/>
      <c r="L680" s="541">
        <f t="shared" si="94"/>
      </c>
      <c r="M680" s="542"/>
      <c r="N680" s="544">
        <v>0</v>
      </c>
      <c r="O680" s="542"/>
      <c r="P680" s="545">
        <f>BOKFØRT!C680</f>
        <v>0</v>
      </c>
      <c r="Q680" s="583">
        <f t="shared" si="95"/>
        <v>0</v>
      </c>
      <c r="R680" s="199"/>
      <c r="S680" s="199"/>
    </row>
    <row r="681" spans="1:19" s="1" customFormat="1" ht="12.75">
      <c r="A681" s="395">
        <v>516153</v>
      </c>
      <c r="B681" s="408" t="s">
        <v>280</v>
      </c>
      <c r="C681" s="397"/>
      <c r="D681" s="436"/>
      <c r="E681" s="436"/>
      <c r="F681" s="418"/>
      <c r="G681" s="544">
        <f t="shared" si="99"/>
        <v>0</v>
      </c>
      <c r="H681" s="414"/>
      <c r="I681" s="540"/>
      <c r="J681" s="540"/>
      <c r="K681" s="403"/>
      <c r="L681" s="541">
        <f t="shared" si="94"/>
      </c>
      <c r="M681" s="542"/>
      <c r="N681" s="544">
        <v>0</v>
      </c>
      <c r="O681" s="542"/>
      <c r="P681" s="545">
        <f>BOKFØRT!C681</f>
        <v>0</v>
      </c>
      <c r="Q681" s="583">
        <f t="shared" si="95"/>
        <v>0</v>
      </c>
      <c r="R681" s="199"/>
      <c r="S681" s="199"/>
    </row>
    <row r="682" spans="1:19" s="1" customFormat="1" ht="12.75">
      <c r="A682" s="395">
        <v>519010</v>
      </c>
      <c r="B682" s="408" t="s">
        <v>556</v>
      </c>
      <c r="C682" s="397"/>
      <c r="D682" s="436"/>
      <c r="E682" s="436"/>
      <c r="F682" s="418"/>
      <c r="G682" s="544">
        <f t="shared" si="99"/>
        <v>0</v>
      </c>
      <c r="H682" s="414"/>
      <c r="I682" s="540"/>
      <c r="J682" s="540"/>
      <c r="K682" s="403"/>
      <c r="L682" s="541">
        <f t="shared" si="94"/>
      </c>
      <c r="M682" s="542"/>
      <c r="N682" s="544">
        <v>0</v>
      </c>
      <c r="O682" s="542"/>
      <c r="P682" s="545">
        <f>BOKFØRT!C682</f>
        <v>0</v>
      </c>
      <c r="Q682" s="583">
        <f t="shared" si="95"/>
        <v>0</v>
      </c>
      <c r="R682" s="199"/>
      <c r="S682" s="199"/>
    </row>
    <row r="683" spans="1:19" s="1" customFormat="1" ht="12.75">
      <c r="A683" s="395">
        <v>519011</v>
      </c>
      <c r="B683" s="408" t="s">
        <v>11</v>
      </c>
      <c r="C683" s="397"/>
      <c r="D683" s="436"/>
      <c r="E683" s="436"/>
      <c r="F683" s="418"/>
      <c r="G683" s="544">
        <f t="shared" si="99"/>
        <v>0</v>
      </c>
      <c r="H683" s="414"/>
      <c r="I683" s="540"/>
      <c r="J683" s="540"/>
      <c r="K683" s="403"/>
      <c r="L683" s="541">
        <f t="shared" si="94"/>
      </c>
      <c r="M683" s="542"/>
      <c r="N683" s="544">
        <v>0</v>
      </c>
      <c r="O683" s="542"/>
      <c r="P683" s="545">
        <f>BOKFØRT!C683</f>
        <v>0</v>
      </c>
      <c r="Q683" s="583">
        <f t="shared" si="95"/>
        <v>0</v>
      </c>
      <c r="R683" s="199"/>
      <c r="S683" s="199"/>
    </row>
    <row r="684" spans="1:19" s="1" customFormat="1" ht="12.75">
      <c r="A684" s="395">
        <v>519013</v>
      </c>
      <c r="B684" s="408" t="s">
        <v>557</v>
      </c>
      <c r="C684" s="397"/>
      <c r="D684" s="436"/>
      <c r="E684" s="436"/>
      <c r="F684" s="418"/>
      <c r="G684" s="544">
        <f t="shared" si="99"/>
        <v>0</v>
      </c>
      <c r="H684" s="414"/>
      <c r="I684" s="540"/>
      <c r="J684" s="540"/>
      <c r="K684" s="403"/>
      <c r="L684" s="541">
        <f t="shared" si="94"/>
      </c>
      <c r="M684" s="542"/>
      <c r="N684" s="544">
        <v>0</v>
      </c>
      <c r="O684" s="542"/>
      <c r="P684" s="545">
        <f>BOKFØRT!C684</f>
        <v>0</v>
      </c>
      <c r="Q684" s="583">
        <f t="shared" si="95"/>
        <v>0</v>
      </c>
      <c r="R684" s="199"/>
      <c r="S684" s="199"/>
    </row>
    <row r="685" spans="1:19" s="1" customFormat="1" ht="12.75">
      <c r="A685" s="395">
        <v>519020</v>
      </c>
      <c r="B685" s="457" t="s">
        <v>13</v>
      </c>
      <c r="C685" s="397"/>
      <c r="D685" s="436"/>
      <c r="E685" s="436"/>
      <c r="F685" s="418"/>
      <c r="G685" s="544">
        <f t="shared" si="99"/>
        <v>0</v>
      </c>
      <c r="H685" s="414"/>
      <c r="I685" s="540"/>
      <c r="J685" s="540"/>
      <c r="K685" s="403"/>
      <c r="L685" s="541">
        <f t="shared" si="94"/>
      </c>
      <c r="M685" s="542"/>
      <c r="N685" s="544">
        <v>0</v>
      </c>
      <c r="O685" s="542"/>
      <c r="P685" s="545">
        <f>BOKFØRT!C685</f>
        <v>0</v>
      </c>
      <c r="Q685" s="583">
        <f t="shared" si="95"/>
        <v>0</v>
      </c>
      <c r="R685" s="199"/>
      <c r="S685" s="199"/>
    </row>
    <row r="686" spans="1:19" s="1" customFormat="1" ht="12.75">
      <c r="A686" s="395">
        <v>519021</v>
      </c>
      <c r="B686" s="408" t="s">
        <v>14</v>
      </c>
      <c r="C686" s="397"/>
      <c r="D686" s="436"/>
      <c r="E686" s="436"/>
      <c r="F686" s="418"/>
      <c r="G686" s="544">
        <f t="shared" si="99"/>
        <v>0</v>
      </c>
      <c r="H686" s="414"/>
      <c r="I686" s="540"/>
      <c r="J686" s="540"/>
      <c r="K686" s="403"/>
      <c r="L686" s="541">
        <f t="shared" si="94"/>
      </c>
      <c r="M686" s="542"/>
      <c r="N686" s="544">
        <v>0</v>
      </c>
      <c r="O686" s="542"/>
      <c r="P686" s="545">
        <f>BOKFØRT!C686</f>
        <v>0</v>
      </c>
      <c r="Q686" s="583">
        <f t="shared" si="95"/>
        <v>0</v>
      </c>
      <c r="R686" s="199"/>
      <c r="S686" s="199"/>
    </row>
    <row r="687" spans="1:19" s="1" customFormat="1" ht="12.75">
      <c r="A687" s="395">
        <v>519022</v>
      </c>
      <c r="B687" s="408" t="s">
        <v>558</v>
      </c>
      <c r="C687" s="397"/>
      <c r="D687" s="436"/>
      <c r="E687" s="436"/>
      <c r="F687" s="418"/>
      <c r="G687" s="544">
        <f t="shared" si="99"/>
        <v>0</v>
      </c>
      <c r="H687" s="414"/>
      <c r="I687" s="540"/>
      <c r="J687" s="540"/>
      <c r="K687" s="403"/>
      <c r="L687" s="541">
        <f t="shared" si="94"/>
      </c>
      <c r="M687" s="542"/>
      <c r="N687" s="544">
        <v>0</v>
      </c>
      <c r="O687" s="542"/>
      <c r="P687" s="545">
        <f>BOKFØRT!C687</f>
        <v>0</v>
      </c>
      <c r="Q687" s="583">
        <f t="shared" si="95"/>
        <v>0</v>
      </c>
      <c r="R687" s="199"/>
      <c r="S687" s="199"/>
    </row>
    <row r="688" spans="1:19" s="1" customFormat="1" ht="12.75">
      <c r="A688" s="395">
        <v>519023</v>
      </c>
      <c r="B688" s="408" t="s">
        <v>559</v>
      </c>
      <c r="C688" s="397"/>
      <c r="D688" s="436"/>
      <c r="E688" s="436"/>
      <c r="F688" s="418"/>
      <c r="G688" s="544">
        <f t="shared" si="99"/>
        <v>0</v>
      </c>
      <c r="H688" s="414"/>
      <c r="I688" s="555"/>
      <c r="J688" s="555"/>
      <c r="K688" s="403"/>
      <c r="L688" s="541">
        <f t="shared" si="94"/>
      </c>
      <c r="M688" s="542"/>
      <c r="N688" s="544">
        <v>0</v>
      </c>
      <c r="O688" s="542"/>
      <c r="P688" s="545">
        <f>BOKFØRT!C688</f>
        <v>0</v>
      </c>
      <c r="Q688" s="583">
        <f t="shared" si="95"/>
        <v>0</v>
      </c>
      <c r="R688" s="199"/>
      <c r="S688" s="199"/>
    </row>
    <row r="689" spans="1:19" s="1" customFormat="1" ht="12.75">
      <c r="A689" s="395">
        <v>519025</v>
      </c>
      <c r="B689" s="408" t="s">
        <v>560</v>
      </c>
      <c r="C689" s="397"/>
      <c r="D689" s="436"/>
      <c r="E689" s="436"/>
      <c r="F689" s="418"/>
      <c r="G689" s="544">
        <f t="shared" si="99"/>
        <v>0</v>
      </c>
      <c r="H689" s="414"/>
      <c r="I689" s="555"/>
      <c r="J689" s="555"/>
      <c r="K689" s="403"/>
      <c r="L689" s="541">
        <f t="shared" si="94"/>
      </c>
      <c r="M689" s="542"/>
      <c r="N689" s="544">
        <v>0</v>
      </c>
      <c r="O689" s="542"/>
      <c r="P689" s="545">
        <f>BOKFØRT!C689</f>
        <v>0</v>
      </c>
      <c r="Q689" s="583">
        <f t="shared" si="95"/>
        <v>0</v>
      </c>
      <c r="R689" s="199"/>
      <c r="S689" s="199"/>
    </row>
    <row r="690" spans="1:19" s="1" customFormat="1" ht="12.75">
      <c r="A690" s="395">
        <v>519027</v>
      </c>
      <c r="B690" s="408" t="s">
        <v>15</v>
      </c>
      <c r="C690" s="397"/>
      <c r="D690" s="436"/>
      <c r="E690" s="436"/>
      <c r="F690" s="418"/>
      <c r="G690" s="544">
        <f t="shared" si="99"/>
        <v>0</v>
      </c>
      <c r="H690" s="414"/>
      <c r="I690" s="540"/>
      <c r="J690" s="540"/>
      <c r="K690" s="403"/>
      <c r="L690" s="541">
        <f t="shared" si="94"/>
      </c>
      <c r="M690" s="542"/>
      <c r="N690" s="544">
        <v>0</v>
      </c>
      <c r="O690" s="542"/>
      <c r="P690" s="545">
        <f>BOKFØRT!C690</f>
        <v>0</v>
      </c>
      <c r="Q690" s="583">
        <f t="shared" si="95"/>
        <v>0</v>
      </c>
      <c r="R690" s="199"/>
      <c r="S690" s="199"/>
    </row>
    <row r="691" spans="1:19" s="1" customFormat="1" ht="12.75">
      <c r="A691" s="395">
        <v>519029</v>
      </c>
      <c r="B691" s="408" t="s">
        <v>561</v>
      </c>
      <c r="C691" s="397"/>
      <c r="D691" s="436"/>
      <c r="E691" s="436"/>
      <c r="F691" s="418"/>
      <c r="G691" s="544">
        <f t="shared" si="99"/>
        <v>0</v>
      </c>
      <c r="H691" s="414"/>
      <c r="I691" s="540"/>
      <c r="J691" s="540"/>
      <c r="K691" s="403"/>
      <c r="L691" s="541">
        <f t="shared" si="94"/>
      </c>
      <c r="M691" s="542"/>
      <c r="N691" s="544">
        <v>0</v>
      </c>
      <c r="O691" s="542"/>
      <c r="P691" s="545">
        <f>BOKFØRT!C691</f>
        <v>0</v>
      </c>
      <c r="Q691" s="583">
        <f t="shared" si="95"/>
        <v>0</v>
      </c>
      <c r="R691" s="199"/>
      <c r="S691" s="199"/>
    </row>
    <row r="692" spans="1:19" s="1" customFormat="1" ht="12.75">
      <c r="A692" s="395">
        <v>519030</v>
      </c>
      <c r="B692" s="408" t="s">
        <v>594</v>
      </c>
      <c r="C692" s="397"/>
      <c r="D692" s="436"/>
      <c r="E692" s="436"/>
      <c r="F692" s="418"/>
      <c r="G692" s="544">
        <f t="shared" si="99"/>
        <v>0</v>
      </c>
      <c r="H692" s="414"/>
      <c r="I692" s="540"/>
      <c r="J692" s="540"/>
      <c r="K692" s="403"/>
      <c r="L692" s="541">
        <f t="shared" si="94"/>
      </c>
      <c r="M692" s="542"/>
      <c r="N692" s="544">
        <v>0</v>
      </c>
      <c r="O692" s="542"/>
      <c r="P692" s="545">
        <f>BOKFØRT!C692</f>
        <v>0</v>
      </c>
      <c r="Q692" s="583">
        <f t="shared" si="95"/>
        <v>0</v>
      </c>
      <c r="R692" s="199"/>
      <c r="S692" s="199"/>
    </row>
    <row r="693" spans="1:19" s="1" customFormat="1" ht="12.75">
      <c r="A693" s="395">
        <v>519064</v>
      </c>
      <c r="B693" s="408" t="s">
        <v>21</v>
      </c>
      <c r="C693" s="397"/>
      <c r="D693" s="436"/>
      <c r="E693" s="436"/>
      <c r="F693" s="418"/>
      <c r="G693" s="544">
        <f t="shared" si="99"/>
        <v>0</v>
      </c>
      <c r="H693" s="414"/>
      <c r="I693" s="540"/>
      <c r="J693" s="540"/>
      <c r="K693" s="403"/>
      <c r="L693" s="541">
        <f t="shared" si="94"/>
      </c>
      <c r="M693" s="542"/>
      <c r="N693" s="544">
        <v>0</v>
      </c>
      <c r="O693" s="542"/>
      <c r="P693" s="545">
        <f>BOKFØRT!C693</f>
        <v>0</v>
      </c>
      <c r="Q693" s="583">
        <f t="shared" si="95"/>
        <v>0</v>
      </c>
      <c r="R693" s="199"/>
      <c r="S693" s="199"/>
    </row>
    <row r="694" spans="1:19" s="1" customFormat="1" ht="12.75">
      <c r="A694" s="395">
        <v>519069</v>
      </c>
      <c r="B694" s="408" t="s">
        <v>564</v>
      </c>
      <c r="C694" s="397"/>
      <c r="D694" s="436"/>
      <c r="E694" s="436"/>
      <c r="F694" s="418"/>
      <c r="G694" s="544">
        <f t="shared" si="99"/>
        <v>0</v>
      </c>
      <c r="H694" s="414"/>
      <c r="I694" s="540"/>
      <c r="J694" s="540"/>
      <c r="K694" s="403"/>
      <c r="L694" s="541">
        <f t="shared" si="94"/>
      </c>
      <c r="M694" s="542"/>
      <c r="N694" s="544">
        <v>0</v>
      </c>
      <c r="O694" s="542"/>
      <c r="P694" s="545">
        <f>BOKFØRT!C694</f>
        <v>0</v>
      </c>
      <c r="Q694" s="583">
        <f t="shared" si="95"/>
        <v>0</v>
      </c>
      <c r="R694" s="199"/>
      <c r="S694" s="199"/>
    </row>
    <row r="695" spans="1:19" s="1" customFormat="1" ht="12.75">
      <c r="A695" s="395">
        <v>519070</v>
      </c>
      <c r="B695" s="408" t="s">
        <v>565</v>
      </c>
      <c r="C695" s="397"/>
      <c r="D695" s="436"/>
      <c r="E695" s="436"/>
      <c r="F695" s="418"/>
      <c r="G695" s="544">
        <f t="shared" si="99"/>
        <v>0</v>
      </c>
      <c r="H695" s="414"/>
      <c r="I695" s="540"/>
      <c r="J695" s="540"/>
      <c r="K695" s="403"/>
      <c r="L695" s="541">
        <f t="shared" si="94"/>
      </c>
      <c r="M695" s="542"/>
      <c r="N695" s="544">
        <v>0</v>
      </c>
      <c r="O695" s="542"/>
      <c r="P695" s="545">
        <f>BOKFØRT!C695</f>
        <v>0</v>
      </c>
      <c r="Q695" s="583">
        <f t="shared" si="95"/>
        <v>0</v>
      </c>
      <c r="R695" s="199"/>
      <c r="S695" s="199"/>
    </row>
    <row r="696" spans="1:19" s="1" customFormat="1" ht="12.75">
      <c r="A696" s="395">
        <v>519072</v>
      </c>
      <c r="B696" s="408" t="s">
        <v>566</v>
      </c>
      <c r="C696" s="397"/>
      <c r="D696" s="436"/>
      <c r="E696" s="436"/>
      <c r="F696" s="418"/>
      <c r="G696" s="544">
        <f t="shared" si="99"/>
        <v>0</v>
      </c>
      <c r="H696" s="414"/>
      <c r="I696" s="540"/>
      <c r="J696" s="540"/>
      <c r="K696" s="403"/>
      <c r="L696" s="541">
        <f t="shared" si="94"/>
      </c>
      <c r="M696" s="542"/>
      <c r="N696" s="544">
        <v>0</v>
      </c>
      <c r="O696" s="542"/>
      <c r="P696" s="545">
        <f>BOKFØRT!C696</f>
        <v>0</v>
      </c>
      <c r="Q696" s="583">
        <f t="shared" si="95"/>
        <v>0</v>
      </c>
      <c r="R696" s="199"/>
      <c r="S696" s="199"/>
    </row>
    <row r="697" spans="1:19" s="1" customFormat="1" ht="12.75">
      <c r="A697" s="395">
        <v>519073</v>
      </c>
      <c r="B697" s="408" t="s">
        <v>567</v>
      </c>
      <c r="C697" s="397"/>
      <c r="D697" s="436"/>
      <c r="E697" s="436"/>
      <c r="F697" s="418"/>
      <c r="G697" s="544">
        <f t="shared" si="99"/>
        <v>0</v>
      </c>
      <c r="H697" s="414"/>
      <c r="I697" s="540"/>
      <c r="J697" s="540"/>
      <c r="K697" s="403"/>
      <c r="L697" s="541">
        <f t="shared" si="94"/>
      </c>
      <c r="M697" s="542"/>
      <c r="N697" s="544">
        <v>0</v>
      </c>
      <c r="O697" s="542"/>
      <c r="P697" s="545">
        <f>BOKFØRT!C697</f>
        <v>0</v>
      </c>
      <c r="Q697" s="583">
        <f t="shared" si="95"/>
        <v>0</v>
      </c>
      <c r="R697" s="199"/>
      <c r="S697" s="199"/>
    </row>
    <row r="698" spans="1:19" s="1" customFormat="1" ht="12.75">
      <c r="A698" s="395">
        <v>519077</v>
      </c>
      <c r="B698" s="408" t="s">
        <v>598</v>
      </c>
      <c r="C698" s="397"/>
      <c r="D698" s="436"/>
      <c r="E698" s="436"/>
      <c r="F698" s="418"/>
      <c r="G698" s="544">
        <f t="shared" si="99"/>
        <v>0</v>
      </c>
      <c r="H698" s="414"/>
      <c r="I698" s="540"/>
      <c r="J698" s="540"/>
      <c r="K698" s="403"/>
      <c r="L698" s="541">
        <f t="shared" si="94"/>
      </c>
      <c r="M698" s="542"/>
      <c r="N698" s="544">
        <v>0</v>
      </c>
      <c r="O698" s="542"/>
      <c r="P698" s="545">
        <f>BOKFØRT!C698</f>
        <v>0</v>
      </c>
      <c r="Q698" s="583">
        <f t="shared" si="95"/>
        <v>0</v>
      </c>
      <c r="R698" s="199"/>
      <c r="S698" s="199"/>
    </row>
    <row r="699" spans="1:19" s="1" customFormat="1" ht="12.75">
      <c r="A699" s="395">
        <v>519078</v>
      </c>
      <c r="B699" s="408" t="s">
        <v>568</v>
      </c>
      <c r="C699" s="397"/>
      <c r="D699" s="436"/>
      <c r="E699" s="436"/>
      <c r="F699" s="418"/>
      <c r="G699" s="544">
        <f t="shared" si="99"/>
        <v>0</v>
      </c>
      <c r="H699" s="414"/>
      <c r="I699" s="540"/>
      <c r="J699" s="540"/>
      <c r="K699" s="403"/>
      <c r="L699" s="541">
        <f t="shared" si="94"/>
      </c>
      <c r="M699" s="542"/>
      <c r="N699" s="544">
        <v>0</v>
      </c>
      <c r="O699" s="542"/>
      <c r="P699" s="545">
        <f>BOKFØRT!C699</f>
        <v>0</v>
      </c>
      <c r="Q699" s="583">
        <f t="shared" si="95"/>
        <v>0</v>
      </c>
      <c r="R699" s="199"/>
      <c r="S699" s="199"/>
    </row>
    <row r="700" spans="1:19" s="1" customFormat="1" ht="12.75">
      <c r="A700" s="395">
        <v>519081</v>
      </c>
      <c r="B700" s="408" t="s">
        <v>599</v>
      </c>
      <c r="C700" s="397"/>
      <c r="D700" s="436"/>
      <c r="E700" s="436"/>
      <c r="F700" s="418"/>
      <c r="G700" s="544">
        <f t="shared" si="99"/>
        <v>0</v>
      </c>
      <c r="H700" s="458"/>
      <c r="I700" s="540"/>
      <c r="J700" s="540"/>
      <c r="K700" s="403"/>
      <c r="L700" s="541">
        <f t="shared" si="94"/>
      </c>
      <c r="M700" s="542"/>
      <c r="N700" s="544">
        <v>0</v>
      </c>
      <c r="O700" s="542"/>
      <c r="P700" s="545">
        <f>BOKFØRT!C700</f>
        <v>0</v>
      </c>
      <c r="Q700" s="583">
        <f t="shared" si="95"/>
        <v>0</v>
      </c>
      <c r="R700" s="199"/>
      <c r="S700" s="199"/>
    </row>
    <row r="701" spans="1:19" s="1" customFormat="1" ht="12.75">
      <c r="A701" s="395">
        <v>519082</v>
      </c>
      <c r="B701" s="408" t="s">
        <v>600</v>
      </c>
      <c r="C701" s="397"/>
      <c r="D701" s="436"/>
      <c r="E701" s="436"/>
      <c r="F701" s="418"/>
      <c r="G701" s="544">
        <f t="shared" si="99"/>
        <v>0</v>
      </c>
      <c r="H701" s="414"/>
      <c r="I701" s="540"/>
      <c r="J701" s="540"/>
      <c r="K701" s="403"/>
      <c r="L701" s="541">
        <f t="shared" si="94"/>
      </c>
      <c r="M701" s="542"/>
      <c r="N701" s="544">
        <v>0</v>
      </c>
      <c r="O701" s="542"/>
      <c r="P701" s="545">
        <f>BOKFØRT!C701</f>
        <v>0</v>
      </c>
      <c r="Q701" s="583">
        <f t="shared" si="95"/>
        <v>0</v>
      </c>
      <c r="R701" s="199"/>
      <c r="S701" s="199"/>
    </row>
    <row r="702" spans="1:19" s="1" customFormat="1" ht="12.75">
      <c r="A702" s="395">
        <v>519083</v>
      </c>
      <c r="B702" s="408" t="s">
        <v>601</v>
      </c>
      <c r="C702" s="397"/>
      <c r="D702" s="436"/>
      <c r="E702" s="436"/>
      <c r="F702" s="418"/>
      <c r="G702" s="544">
        <f t="shared" si="99"/>
        <v>0</v>
      </c>
      <c r="H702" s="414"/>
      <c r="I702" s="540"/>
      <c r="J702" s="540"/>
      <c r="K702" s="403"/>
      <c r="L702" s="541">
        <f t="shared" si="94"/>
      </c>
      <c r="M702" s="542"/>
      <c r="N702" s="544">
        <v>0</v>
      </c>
      <c r="O702" s="542"/>
      <c r="P702" s="545">
        <f>BOKFØRT!C702</f>
        <v>0</v>
      </c>
      <c r="Q702" s="583">
        <f t="shared" si="95"/>
        <v>0</v>
      </c>
      <c r="R702" s="199"/>
      <c r="S702" s="199"/>
    </row>
    <row r="703" spans="1:19" s="1" customFormat="1" ht="12.75">
      <c r="A703" s="395">
        <v>519084</v>
      </c>
      <c r="B703" s="408" t="s">
        <v>602</v>
      </c>
      <c r="C703" s="397"/>
      <c r="D703" s="436"/>
      <c r="E703" s="436"/>
      <c r="F703" s="418"/>
      <c r="G703" s="544">
        <f t="shared" si="99"/>
        <v>0</v>
      </c>
      <c r="H703" s="458"/>
      <c r="I703" s="540"/>
      <c r="J703" s="540"/>
      <c r="K703" s="403"/>
      <c r="L703" s="541">
        <f t="shared" si="94"/>
      </c>
      <c r="M703" s="542"/>
      <c r="N703" s="544">
        <v>0</v>
      </c>
      <c r="O703" s="542"/>
      <c r="P703" s="545">
        <f>BOKFØRT!C703</f>
        <v>0</v>
      </c>
      <c r="Q703" s="583">
        <f t="shared" si="95"/>
        <v>0</v>
      </c>
      <c r="R703" s="199"/>
      <c r="S703" s="199"/>
    </row>
    <row r="704" spans="1:19" s="1" customFormat="1" ht="12.75">
      <c r="A704" s="395">
        <v>519085</v>
      </c>
      <c r="B704" s="408" t="s">
        <v>603</v>
      </c>
      <c r="C704" s="397"/>
      <c r="D704" s="436"/>
      <c r="E704" s="436"/>
      <c r="F704" s="418"/>
      <c r="G704" s="544">
        <f t="shared" si="99"/>
        <v>0</v>
      </c>
      <c r="H704" s="458"/>
      <c r="I704" s="540"/>
      <c r="J704" s="540"/>
      <c r="K704" s="403"/>
      <c r="L704" s="541">
        <f t="shared" si="94"/>
      </c>
      <c r="M704" s="542"/>
      <c r="N704" s="544">
        <v>0</v>
      </c>
      <c r="O704" s="542"/>
      <c r="P704" s="545">
        <f>BOKFØRT!C704</f>
        <v>0</v>
      </c>
      <c r="Q704" s="583">
        <f t="shared" si="95"/>
        <v>0</v>
      </c>
      <c r="R704" s="199"/>
      <c r="S704" s="199"/>
    </row>
    <row r="705" spans="1:19" s="1" customFormat="1" ht="12.75">
      <c r="A705" s="395">
        <v>519090</v>
      </c>
      <c r="B705" s="408" t="s">
        <v>604</v>
      </c>
      <c r="C705" s="397"/>
      <c r="D705" s="436"/>
      <c r="E705" s="436"/>
      <c r="F705" s="418"/>
      <c r="G705" s="544">
        <f t="shared" si="99"/>
        <v>0</v>
      </c>
      <c r="H705" s="458"/>
      <c r="I705" s="540"/>
      <c r="J705" s="540"/>
      <c r="K705" s="403"/>
      <c r="L705" s="541">
        <f t="shared" si="94"/>
      </c>
      <c r="M705" s="542"/>
      <c r="N705" s="544">
        <v>0</v>
      </c>
      <c r="O705" s="542"/>
      <c r="P705" s="545">
        <f>BOKFØRT!C705</f>
        <v>0</v>
      </c>
      <c r="Q705" s="583">
        <f t="shared" si="95"/>
        <v>0</v>
      </c>
      <c r="R705" s="199"/>
      <c r="S705" s="199"/>
    </row>
    <row r="706" spans="1:19" s="1" customFormat="1" ht="12.75">
      <c r="A706" s="395">
        <v>519093</v>
      </c>
      <c r="B706" s="408" t="s">
        <v>569</v>
      </c>
      <c r="C706" s="397"/>
      <c r="D706" s="436"/>
      <c r="E706" s="436"/>
      <c r="F706" s="418"/>
      <c r="G706" s="544">
        <f t="shared" si="99"/>
        <v>0</v>
      </c>
      <c r="H706" s="458"/>
      <c r="I706" s="540"/>
      <c r="J706" s="540"/>
      <c r="K706" s="403"/>
      <c r="L706" s="541">
        <f t="shared" si="94"/>
      </c>
      <c r="M706" s="542"/>
      <c r="N706" s="544">
        <v>0</v>
      </c>
      <c r="O706" s="542"/>
      <c r="P706" s="545">
        <f>BOKFØRT!C706</f>
        <v>0</v>
      </c>
      <c r="Q706" s="583">
        <f t="shared" si="95"/>
        <v>0</v>
      </c>
      <c r="R706" s="199"/>
      <c r="S706" s="199"/>
    </row>
    <row r="707" spans="1:19" s="1" customFormat="1" ht="12.75">
      <c r="A707" s="395">
        <v>519098</v>
      </c>
      <c r="B707" s="420" t="s">
        <v>25</v>
      </c>
      <c r="C707" s="421"/>
      <c r="D707" s="422"/>
      <c r="E707" s="422"/>
      <c r="F707" s="423"/>
      <c r="G707" s="548">
        <f t="shared" si="99"/>
        <v>0</v>
      </c>
      <c r="H707" s="414"/>
      <c r="I707" s="540"/>
      <c r="J707" s="540"/>
      <c r="K707" s="403"/>
      <c r="L707" s="541">
        <f t="shared" si="94"/>
      </c>
      <c r="M707" s="542"/>
      <c r="N707" s="548">
        <v>0</v>
      </c>
      <c r="O707" s="542"/>
      <c r="P707" s="550">
        <f>BOKFØRT!C707</f>
        <v>0</v>
      </c>
      <c r="Q707" s="583">
        <f t="shared" si="95"/>
        <v>0</v>
      </c>
      <c r="R707" s="199"/>
      <c r="S707" s="199"/>
    </row>
    <row r="708" spans="1:19" s="1" customFormat="1" ht="13.5" thickBot="1">
      <c r="A708" s="445" t="s">
        <v>401</v>
      </c>
      <c r="B708" s="426"/>
      <c r="C708" s="451"/>
      <c r="D708" s="433"/>
      <c r="E708" s="434"/>
      <c r="F708" s="448" t="s">
        <v>570</v>
      </c>
      <c r="G708" s="558">
        <f>SUM(G668:G707)</f>
        <v>0</v>
      </c>
      <c r="H708" s="414"/>
      <c r="I708" s="555"/>
      <c r="J708" s="555"/>
      <c r="K708" s="394"/>
      <c r="L708" s="558">
        <f>SUM(L668:L707)</f>
        <v>0</v>
      </c>
      <c r="M708" s="542"/>
      <c r="N708" s="558">
        <v>0</v>
      </c>
      <c r="O708" s="542"/>
      <c r="P708" s="559">
        <f>SUM(P668:P707)</f>
        <v>0</v>
      </c>
      <c r="Q708" s="583">
        <f t="shared" si="95"/>
        <v>0</v>
      </c>
      <c r="R708" s="199"/>
      <c r="S708" s="199"/>
    </row>
    <row r="709" spans="1:19" s="1" customFormat="1" ht="0.75" customHeight="1" thickTop="1">
      <c r="A709" s="431"/>
      <c r="B709" s="432"/>
      <c r="C709" s="427"/>
      <c r="D709" s="450"/>
      <c r="E709" s="459"/>
      <c r="F709" s="460"/>
      <c r="G709" s="540"/>
      <c r="H709" s="414"/>
      <c r="I709" s="540"/>
      <c r="J709" s="540"/>
      <c r="K709" s="394"/>
      <c r="L709" s="555"/>
      <c r="M709" s="542"/>
      <c r="N709" s="540"/>
      <c r="O709" s="542"/>
      <c r="P709" s="561"/>
      <c r="Q709" s="583"/>
      <c r="R709" s="199"/>
      <c r="S709" s="199"/>
    </row>
    <row r="710" spans="1:19" s="1" customFormat="1" ht="24.75" customHeight="1" thickTop="1">
      <c r="A710" s="391" t="s">
        <v>532</v>
      </c>
      <c r="B710" s="432"/>
      <c r="C710" s="427"/>
      <c r="D710" s="511" t="s">
        <v>422</v>
      </c>
      <c r="E710" s="512" t="s">
        <v>423</v>
      </c>
      <c r="F710" s="511" t="s">
        <v>424</v>
      </c>
      <c r="G710" s="533" t="s">
        <v>425</v>
      </c>
      <c r="H710" s="511" t="s">
        <v>426</v>
      </c>
      <c r="I710" s="534" t="s">
        <v>427</v>
      </c>
      <c r="J710" s="534"/>
      <c r="K710" s="394"/>
      <c r="L710" s="533" t="s">
        <v>688</v>
      </c>
      <c r="M710" s="536"/>
      <c r="N710" s="533" t="s">
        <v>425</v>
      </c>
      <c r="O710" s="536"/>
      <c r="P710" s="533" t="s">
        <v>677</v>
      </c>
      <c r="Q710" s="583"/>
      <c r="R710" s="199"/>
      <c r="S710" s="199"/>
    </row>
    <row r="711" spans="1:19" s="1" customFormat="1" ht="12.75">
      <c r="A711" s="395">
        <v>523110</v>
      </c>
      <c r="B711" s="408" t="s">
        <v>281</v>
      </c>
      <c r="C711" s="397"/>
      <c r="D711" s="436"/>
      <c r="E711" s="436"/>
      <c r="F711" s="418"/>
      <c r="G711" s="537">
        <f aca="true" t="shared" si="100" ref="G711:G721">IF(X=0,(IF(Me=0,Sa,Me*Sa)),(IF(Me=0,Sa*X,Me*X*Sa)))</f>
        <v>0</v>
      </c>
      <c r="H711" s="538">
        <f aca="true" t="shared" si="101" ref="H711:H721">IF(Sum,Sos,0)</f>
        <v>0</v>
      </c>
      <c r="I711" s="539">
        <f aca="true" t="shared" si="102" ref="I711:I721">IF(Prosent&lt;&gt;0,(Sum*Prosent)/100,0)</f>
        <v>0</v>
      </c>
      <c r="J711" s="540"/>
      <c r="K711" s="403"/>
      <c r="L711" s="541">
        <f aca="true" t="shared" si="103" ref="L711:L732">IF(FMVAE&lt;&gt;"",(Sum*mva)-Sum,"")</f>
      </c>
      <c r="M711" s="542"/>
      <c r="N711" s="537">
        <v>0</v>
      </c>
      <c r="O711" s="542"/>
      <c r="P711" s="543">
        <f>BOKFØRT!C711</f>
        <v>0</v>
      </c>
      <c r="Q711" s="583">
        <f aca="true" t="shared" si="104" ref="Q711:Q733">G711+N711+P711</f>
        <v>0</v>
      </c>
      <c r="R711" s="199"/>
      <c r="S711" s="199"/>
    </row>
    <row r="712" spans="1:19" s="1" customFormat="1" ht="12.75">
      <c r="A712" s="395">
        <v>523111</v>
      </c>
      <c r="B712" s="437" t="s">
        <v>282</v>
      </c>
      <c r="C712" s="397"/>
      <c r="D712" s="438"/>
      <c r="E712" s="436"/>
      <c r="F712" s="439">
        <f>IF(D712=0,0,+G711)</f>
        <v>0</v>
      </c>
      <c r="G712" s="544">
        <f t="shared" si="100"/>
        <v>0</v>
      </c>
      <c r="H712" s="538">
        <f t="shared" si="101"/>
        <v>0</v>
      </c>
      <c r="I712" s="539">
        <f t="shared" si="102"/>
        <v>0</v>
      </c>
      <c r="J712" s="540"/>
      <c r="K712" s="403"/>
      <c r="L712" s="541">
        <f t="shared" si="103"/>
      </c>
      <c r="M712" s="542"/>
      <c r="N712" s="544">
        <v>0</v>
      </c>
      <c r="O712" s="542"/>
      <c r="P712" s="545">
        <f>BOKFØRT!C712</f>
        <v>0</v>
      </c>
      <c r="Q712" s="583">
        <f t="shared" si="104"/>
        <v>0</v>
      </c>
      <c r="R712" s="199"/>
      <c r="S712" s="199"/>
    </row>
    <row r="713" spans="1:19" s="1" customFormat="1" ht="12.75">
      <c r="A713" s="395">
        <v>523114</v>
      </c>
      <c r="B713" s="408" t="s">
        <v>283</v>
      </c>
      <c r="C713" s="397"/>
      <c r="D713" s="436"/>
      <c r="E713" s="436"/>
      <c r="F713" s="418"/>
      <c r="G713" s="544">
        <f t="shared" si="100"/>
        <v>0</v>
      </c>
      <c r="H713" s="538">
        <f t="shared" si="101"/>
        <v>0</v>
      </c>
      <c r="I713" s="539">
        <f t="shared" si="102"/>
        <v>0</v>
      </c>
      <c r="J713" s="540"/>
      <c r="K713" s="403"/>
      <c r="L713" s="541">
        <f t="shared" si="103"/>
      </c>
      <c r="M713" s="542"/>
      <c r="N713" s="544">
        <v>0</v>
      </c>
      <c r="O713" s="542"/>
      <c r="P713" s="545">
        <f>BOKFØRT!C713</f>
        <v>0</v>
      </c>
      <c r="Q713" s="583">
        <f t="shared" si="104"/>
        <v>0</v>
      </c>
      <c r="R713" s="199"/>
      <c r="S713" s="199"/>
    </row>
    <row r="714" spans="1:19" s="1" customFormat="1" ht="12.75">
      <c r="A714" s="395">
        <v>523115</v>
      </c>
      <c r="B714" s="437" t="s">
        <v>284</v>
      </c>
      <c r="C714" s="397"/>
      <c r="D714" s="438"/>
      <c r="E714" s="436"/>
      <c r="F714" s="439">
        <f>IF(D714=0,0,+G713)</f>
        <v>0</v>
      </c>
      <c r="G714" s="544">
        <f t="shared" si="100"/>
        <v>0</v>
      </c>
      <c r="H714" s="538">
        <f t="shared" si="101"/>
        <v>0</v>
      </c>
      <c r="I714" s="539">
        <f t="shared" si="102"/>
        <v>0</v>
      </c>
      <c r="J714" s="540"/>
      <c r="K714" s="403"/>
      <c r="L714" s="541">
        <f t="shared" si="103"/>
      </c>
      <c r="M714" s="542"/>
      <c r="N714" s="544">
        <v>0</v>
      </c>
      <c r="O714" s="542"/>
      <c r="P714" s="545">
        <f>BOKFØRT!C714</f>
        <v>0</v>
      </c>
      <c r="Q714" s="583">
        <f t="shared" si="104"/>
        <v>0</v>
      </c>
      <c r="R714" s="199"/>
      <c r="S714" s="199"/>
    </row>
    <row r="715" spans="1:19" s="1" customFormat="1" ht="12.75">
      <c r="A715" s="395">
        <v>523120</v>
      </c>
      <c r="B715" s="408" t="s">
        <v>285</v>
      </c>
      <c r="C715" s="397"/>
      <c r="D715" s="436"/>
      <c r="E715" s="436"/>
      <c r="F715" s="418"/>
      <c r="G715" s="544">
        <f t="shared" si="100"/>
        <v>0</v>
      </c>
      <c r="H715" s="538">
        <f t="shared" si="101"/>
        <v>0</v>
      </c>
      <c r="I715" s="539">
        <f t="shared" si="102"/>
        <v>0</v>
      </c>
      <c r="J715" s="540"/>
      <c r="K715" s="403"/>
      <c r="L715" s="541">
        <f t="shared" si="103"/>
      </c>
      <c r="M715" s="542"/>
      <c r="N715" s="544">
        <v>0</v>
      </c>
      <c r="O715" s="542"/>
      <c r="P715" s="545">
        <f>BOKFØRT!C715</f>
        <v>0</v>
      </c>
      <c r="Q715" s="583">
        <f t="shared" si="104"/>
        <v>0</v>
      </c>
      <c r="R715" s="199"/>
      <c r="S715" s="199"/>
    </row>
    <row r="716" spans="1:19" s="1" customFormat="1" ht="12.75">
      <c r="A716" s="395">
        <v>523121</v>
      </c>
      <c r="B716" s="437" t="s">
        <v>286</v>
      </c>
      <c r="C716" s="397"/>
      <c r="D716" s="438"/>
      <c r="E716" s="436"/>
      <c r="F716" s="439">
        <f>IF(D716=0,0,+G715)</f>
        <v>0</v>
      </c>
      <c r="G716" s="544">
        <f t="shared" si="100"/>
        <v>0</v>
      </c>
      <c r="H716" s="538">
        <f t="shared" si="101"/>
        <v>0</v>
      </c>
      <c r="I716" s="539">
        <f t="shared" si="102"/>
        <v>0</v>
      </c>
      <c r="J716" s="540"/>
      <c r="K716" s="403"/>
      <c r="L716" s="541">
        <f t="shared" si="103"/>
      </c>
      <c r="M716" s="542"/>
      <c r="N716" s="544">
        <v>0</v>
      </c>
      <c r="O716" s="542"/>
      <c r="P716" s="545">
        <f>BOKFØRT!C716</f>
        <v>0</v>
      </c>
      <c r="Q716" s="583">
        <f t="shared" si="104"/>
        <v>0</v>
      </c>
      <c r="R716" s="199"/>
      <c r="S716" s="199"/>
    </row>
    <row r="717" spans="1:19" s="1" customFormat="1" ht="12.75">
      <c r="A717" s="395">
        <v>523122</v>
      </c>
      <c r="B717" s="408" t="s">
        <v>287</v>
      </c>
      <c r="C717" s="397"/>
      <c r="D717" s="436"/>
      <c r="E717" s="436"/>
      <c r="F717" s="418"/>
      <c r="G717" s="544">
        <f t="shared" si="100"/>
        <v>0</v>
      </c>
      <c r="H717" s="538">
        <f t="shared" si="101"/>
        <v>0</v>
      </c>
      <c r="I717" s="539">
        <f t="shared" si="102"/>
        <v>0</v>
      </c>
      <c r="J717" s="540"/>
      <c r="K717" s="403"/>
      <c r="L717" s="541">
        <f t="shared" si="103"/>
      </c>
      <c r="M717" s="542"/>
      <c r="N717" s="544">
        <v>0</v>
      </c>
      <c r="O717" s="542"/>
      <c r="P717" s="545">
        <f>BOKFØRT!C717</f>
        <v>0</v>
      </c>
      <c r="Q717" s="583">
        <f t="shared" si="104"/>
        <v>0</v>
      </c>
      <c r="R717" s="199"/>
      <c r="S717" s="199"/>
    </row>
    <row r="718" spans="1:19" s="1" customFormat="1" ht="12.75">
      <c r="A718" s="395">
        <v>523123</v>
      </c>
      <c r="B718" s="408" t="s">
        <v>288</v>
      </c>
      <c r="C718" s="397"/>
      <c r="D718" s="438"/>
      <c r="E718" s="436"/>
      <c r="F718" s="439">
        <f>IF(D718=0,0,+G717)</f>
        <v>0</v>
      </c>
      <c r="G718" s="544">
        <f t="shared" si="100"/>
        <v>0</v>
      </c>
      <c r="H718" s="538">
        <f t="shared" si="101"/>
        <v>0</v>
      </c>
      <c r="I718" s="539">
        <f t="shared" si="102"/>
        <v>0</v>
      </c>
      <c r="J718" s="540"/>
      <c r="K718" s="403"/>
      <c r="L718" s="541">
        <f t="shared" si="103"/>
      </c>
      <c r="M718" s="542"/>
      <c r="N718" s="544">
        <v>0</v>
      </c>
      <c r="O718" s="542"/>
      <c r="P718" s="545">
        <f>BOKFØRT!C718</f>
        <v>0</v>
      </c>
      <c r="Q718" s="583">
        <f t="shared" si="104"/>
        <v>0</v>
      </c>
      <c r="R718" s="199"/>
      <c r="S718" s="199"/>
    </row>
    <row r="719" spans="1:19" s="1" customFormat="1" ht="12.75">
      <c r="A719" s="395">
        <v>523124</v>
      </c>
      <c r="B719" s="408" t="s">
        <v>779</v>
      </c>
      <c r="C719" s="397"/>
      <c r="D719" s="436"/>
      <c r="E719" s="436"/>
      <c r="F719" s="418"/>
      <c r="G719" s="544">
        <f t="shared" si="100"/>
        <v>0</v>
      </c>
      <c r="H719" s="538">
        <f t="shared" si="101"/>
        <v>0</v>
      </c>
      <c r="I719" s="539">
        <f t="shared" si="102"/>
        <v>0</v>
      </c>
      <c r="J719" s="540"/>
      <c r="K719" s="403"/>
      <c r="L719" s="541">
        <f t="shared" si="103"/>
      </c>
      <c r="M719" s="542"/>
      <c r="N719" s="544">
        <v>0</v>
      </c>
      <c r="O719" s="542"/>
      <c r="P719" s="545">
        <f>BOKFØRT!C719</f>
        <v>0</v>
      </c>
      <c r="Q719" s="583">
        <f t="shared" si="104"/>
        <v>0</v>
      </c>
      <c r="R719" s="199"/>
      <c r="S719" s="199"/>
    </row>
    <row r="720" spans="1:19" s="1" customFormat="1" ht="12.75">
      <c r="A720" s="395">
        <v>523125</v>
      </c>
      <c r="B720" s="408" t="s">
        <v>782</v>
      </c>
      <c r="C720" s="397"/>
      <c r="D720" s="438"/>
      <c r="E720" s="436"/>
      <c r="F720" s="439">
        <f>IF(D720=0,0,+G719)</f>
        <v>0</v>
      </c>
      <c r="G720" s="544">
        <f t="shared" si="100"/>
        <v>0</v>
      </c>
      <c r="H720" s="538">
        <f t="shared" si="101"/>
        <v>0</v>
      </c>
      <c r="I720" s="539">
        <f t="shared" si="102"/>
        <v>0</v>
      </c>
      <c r="J720" s="540"/>
      <c r="K720" s="403"/>
      <c r="L720" s="541">
        <f t="shared" si="103"/>
      </c>
      <c r="M720" s="542"/>
      <c r="N720" s="544">
        <v>0</v>
      </c>
      <c r="O720" s="542"/>
      <c r="P720" s="545">
        <f>BOKFØRT!C720</f>
        <v>0</v>
      </c>
      <c r="Q720" s="583">
        <f t="shared" si="104"/>
        <v>0</v>
      </c>
      <c r="R720" s="199"/>
      <c r="S720" s="199"/>
    </row>
    <row r="721" spans="1:19" s="1" customFormat="1" ht="12.75">
      <c r="A721" s="395">
        <v>524092</v>
      </c>
      <c r="B721" s="408" t="s">
        <v>590</v>
      </c>
      <c r="C721" s="397"/>
      <c r="D721" s="436"/>
      <c r="E721" s="436"/>
      <c r="F721" s="418"/>
      <c r="G721" s="544">
        <f t="shared" si="100"/>
        <v>0</v>
      </c>
      <c r="H721" s="538">
        <f t="shared" si="101"/>
        <v>0</v>
      </c>
      <c r="I721" s="539">
        <f t="shared" si="102"/>
        <v>0</v>
      </c>
      <c r="J721" s="540"/>
      <c r="K721" s="403"/>
      <c r="L721" s="541">
        <f t="shared" si="103"/>
      </c>
      <c r="M721" s="542"/>
      <c r="N721" s="544">
        <v>0</v>
      </c>
      <c r="O721" s="542"/>
      <c r="P721" s="545">
        <f>BOKFØRT!C721</f>
        <v>0</v>
      </c>
      <c r="Q721" s="583">
        <f t="shared" si="104"/>
        <v>0</v>
      </c>
      <c r="R721" s="199"/>
      <c r="S721" s="199"/>
    </row>
    <row r="722" spans="1:19" s="1" customFormat="1" ht="12.75">
      <c r="A722" s="395">
        <v>524095</v>
      </c>
      <c r="B722" s="408" t="s">
        <v>554</v>
      </c>
      <c r="C722" s="397"/>
      <c r="D722" s="440"/>
      <c r="E722" s="440"/>
      <c r="F722" s="449"/>
      <c r="G722" s="562">
        <f>SUM(I711:I721)</f>
        <v>0</v>
      </c>
      <c r="H722" s="414"/>
      <c r="I722" s="546" t="s">
        <v>555</v>
      </c>
      <c r="J722" s="546"/>
      <c r="K722" s="573"/>
      <c r="L722" s="541"/>
      <c r="M722" s="542"/>
      <c r="N722" s="562">
        <v>0</v>
      </c>
      <c r="O722" s="542"/>
      <c r="P722" s="545">
        <f>BOKFØRT!C722</f>
        <v>0</v>
      </c>
      <c r="Q722" s="583">
        <f t="shared" si="104"/>
        <v>0</v>
      </c>
      <c r="R722" s="199"/>
      <c r="S722" s="199"/>
    </row>
    <row r="723" spans="1:19" s="1" customFormat="1" ht="12.75">
      <c r="A723" s="395">
        <v>528110</v>
      </c>
      <c r="B723" s="408" t="s">
        <v>290</v>
      </c>
      <c r="C723" s="397"/>
      <c r="D723" s="436"/>
      <c r="E723" s="436"/>
      <c r="F723" s="418"/>
      <c r="G723" s="544">
        <f aca="true" t="shared" si="105" ref="G723:G732">IF(X=0,(IF(Me=0,Sa,Me*Sa)),(IF(Me=0,Sa*X,Me*X*Sa)))</f>
        <v>0</v>
      </c>
      <c r="H723" s="414"/>
      <c r="I723" s="540"/>
      <c r="J723" s="540"/>
      <c r="K723" s="403"/>
      <c r="L723" s="541">
        <f t="shared" si="103"/>
      </c>
      <c r="M723" s="542"/>
      <c r="N723" s="544">
        <v>0</v>
      </c>
      <c r="O723" s="542"/>
      <c r="P723" s="545">
        <f>BOKFØRT!C723</f>
        <v>0</v>
      </c>
      <c r="Q723" s="583">
        <f t="shared" si="104"/>
        <v>0</v>
      </c>
      <c r="R723" s="199"/>
      <c r="S723" s="199"/>
    </row>
    <row r="724" spans="1:19" s="1" customFormat="1" ht="12.75">
      <c r="A724" s="395">
        <v>528120</v>
      </c>
      <c r="B724" s="408" t="s">
        <v>291</v>
      </c>
      <c r="C724" s="397"/>
      <c r="D724" s="436"/>
      <c r="E724" s="436"/>
      <c r="F724" s="418"/>
      <c r="G724" s="544">
        <f t="shared" si="105"/>
        <v>0</v>
      </c>
      <c r="H724" s="414"/>
      <c r="I724" s="540"/>
      <c r="J724" s="540"/>
      <c r="K724" s="403"/>
      <c r="L724" s="541">
        <f t="shared" si="103"/>
      </c>
      <c r="M724" s="542"/>
      <c r="N724" s="544">
        <v>0</v>
      </c>
      <c r="O724" s="542"/>
      <c r="P724" s="545">
        <f>BOKFØRT!C724</f>
        <v>0</v>
      </c>
      <c r="Q724" s="583">
        <f t="shared" si="104"/>
        <v>0</v>
      </c>
      <c r="R724" s="199"/>
      <c r="S724" s="199"/>
    </row>
    <row r="725" spans="1:19" s="1" customFormat="1" ht="12.75">
      <c r="A725" s="395">
        <v>528128</v>
      </c>
      <c r="B725" s="408" t="s">
        <v>648</v>
      </c>
      <c r="C725" s="397"/>
      <c r="D725" s="436"/>
      <c r="E725" s="436"/>
      <c r="F725" s="418"/>
      <c r="G725" s="544">
        <f t="shared" si="105"/>
        <v>0</v>
      </c>
      <c r="H725" s="414"/>
      <c r="I725" s="540"/>
      <c r="J725" s="540"/>
      <c r="K725" s="403"/>
      <c r="L725" s="541">
        <f t="shared" si="103"/>
      </c>
      <c r="M725" s="542"/>
      <c r="N725" s="544">
        <v>0</v>
      </c>
      <c r="O725" s="542"/>
      <c r="P725" s="545">
        <f>BOKFØRT!C725</f>
        <v>0</v>
      </c>
      <c r="Q725" s="583">
        <f t="shared" si="104"/>
        <v>0</v>
      </c>
      <c r="R725" s="199"/>
      <c r="S725" s="199"/>
    </row>
    <row r="726" spans="1:19" s="1" customFormat="1" ht="12.75">
      <c r="A726" s="395">
        <v>528130</v>
      </c>
      <c r="B726" s="437" t="s">
        <v>292</v>
      </c>
      <c r="C726" s="397"/>
      <c r="D726" s="436"/>
      <c r="E726" s="436"/>
      <c r="F726" s="418"/>
      <c r="G726" s="544">
        <f t="shared" si="105"/>
        <v>0</v>
      </c>
      <c r="H726" s="414"/>
      <c r="I726" s="540"/>
      <c r="J726" s="540"/>
      <c r="K726" s="403"/>
      <c r="L726" s="541">
        <f t="shared" si="103"/>
      </c>
      <c r="M726" s="542"/>
      <c r="N726" s="544">
        <v>0</v>
      </c>
      <c r="O726" s="542"/>
      <c r="P726" s="545">
        <f>BOKFØRT!C726</f>
        <v>0</v>
      </c>
      <c r="Q726" s="583">
        <f t="shared" si="104"/>
        <v>0</v>
      </c>
      <c r="R726" s="199"/>
      <c r="S726" s="199"/>
    </row>
    <row r="727" spans="1:19" s="1" customFormat="1" ht="12.75">
      <c r="A727" s="395">
        <v>528132</v>
      </c>
      <c r="B727" s="408" t="s">
        <v>293</v>
      </c>
      <c r="C727" s="397"/>
      <c r="D727" s="436"/>
      <c r="E727" s="436"/>
      <c r="F727" s="418"/>
      <c r="G727" s="544">
        <f t="shared" si="105"/>
        <v>0</v>
      </c>
      <c r="H727" s="414"/>
      <c r="I727" s="540"/>
      <c r="J727" s="540"/>
      <c r="K727" s="403"/>
      <c r="L727" s="541">
        <f t="shared" si="103"/>
      </c>
      <c r="M727" s="542"/>
      <c r="N727" s="544">
        <v>0</v>
      </c>
      <c r="O727" s="542"/>
      <c r="P727" s="545">
        <f>BOKFØRT!C727</f>
        <v>0</v>
      </c>
      <c r="Q727" s="583">
        <f t="shared" si="104"/>
        <v>0</v>
      </c>
      <c r="R727" s="199"/>
      <c r="S727" s="199"/>
    </row>
    <row r="728" spans="1:19" s="1" customFormat="1" ht="12.75">
      <c r="A728" s="395">
        <v>529011</v>
      </c>
      <c r="B728" s="408" t="s">
        <v>11</v>
      </c>
      <c r="C728" s="397"/>
      <c r="D728" s="436"/>
      <c r="E728" s="436"/>
      <c r="F728" s="418"/>
      <c r="G728" s="544">
        <f t="shared" si="105"/>
        <v>0</v>
      </c>
      <c r="H728" s="414"/>
      <c r="I728" s="540"/>
      <c r="J728" s="540"/>
      <c r="K728" s="403"/>
      <c r="L728" s="541">
        <f t="shared" si="103"/>
      </c>
      <c r="M728" s="542"/>
      <c r="N728" s="544">
        <v>0</v>
      </c>
      <c r="O728" s="542"/>
      <c r="P728" s="545">
        <f>BOKFØRT!C728</f>
        <v>0</v>
      </c>
      <c r="Q728" s="583">
        <f t="shared" si="104"/>
        <v>0</v>
      </c>
      <c r="R728" s="199"/>
      <c r="S728" s="199"/>
    </row>
    <row r="729" spans="1:19" s="1" customFormat="1" ht="12.75">
      <c r="A729" s="395">
        <v>529013</v>
      </c>
      <c r="B729" s="408" t="s">
        <v>557</v>
      </c>
      <c r="C729" s="397"/>
      <c r="D729" s="436"/>
      <c r="E729" s="436"/>
      <c r="F729" s="418"/>
      <c r="G729" s="544">
        <f t="shared" si="105"/>
        <v>0</v>
      </c>
      <c r="H729" s="458"/>
      <c r="I729" s="540"/>
      <c r="J729" s="540"/>
      <c r="K729" s="403"/>
      <c r="L729" s="541">
        <f t="shared" si="103"/>
      </c>
      <c r="M729" s="542"/>
      <c r="N729" s="544">
        <v>0</v>
      </c>
      <c r="O729" s="542"/>
      <c r="P729" s="545">
        <f>BOKFØRT!C729</f>
        <v>0</v>
      </c>
      <c r="Q729" s="583">
        <f t="shared" si="104"/>
        <v>0</v>
      </c>
      <c r="R729" s="199"/>
      <c r="S729" s="199"/>
    </row>
    <row r="730" spans="1:19" s="1" customFormat="1" ht="12.75">
      <c r="A730" s="395">
        <v>529027</v>
      </c>
      <c r="B730" s="408" t="s">
        <v>15</v>
      </c>
      <c r="C730" s="397"/>
      <c r="D730" s="436"/>
      <c r="E730" s="436"/>
      <c r="F730" s="418"/>
      <c r="G730" s="544">
        <f t="shared" si="105"/>
        <v>0</v>
      </c>
      <c r="H730" s="414"/>
      <c r="I730" s="540"/>
      <c r="J730" s="540"/>
      <c r="K730" s="403"/>
      <c r="L730" s="541">
        <f t="shared" si="103"/>
      </c>
      <c r="M730" s="542"/>
      <c r="N730" s="544">
        <v>0</v>
      </c>
      <c r="O730" s="542"/>
      <c r="P730" s="545">
        <f>BOKFØRT!C730</f>
        <v>0</v>
      </c>
      <c r="Q730" s="583">
        <f t="shared" si="104"/>
        <v>0</v>
      </c>
      <c r="R730" s="199"/>
      <c r="S730" s="199"/>
    </row>
    <row r="731" spans="1:19" s="1" customFormat="1" ht="12.75">
      <c r="A731" s="395">
        <v>529050</v>
      </c>
      <c r="B731" s="408" t="s">
        <v>17</v>
      </c>
      <c r="C731" s="397"/>
      <c r="D731" s="436"/>
      <c r="E731" s="436"/>
      <c r="F731" s="418"/>
      <c r="G731" s="544">
        <f t="shared" si="105"/>
        <v>0</v>
      </c>
      <c r="H731" s="414"/>
      <c r="I731" s="540"/>
      <c r="J731" s="540"/>
      <c r="K731" s="403"/>
      <c r="L731" s="541">
        <f t="shared" si="103"/>
      </c>
      <c r="M731" s="542"/>
      <c r="N731" s="544">
        <v>0</v>
      </c>
      <c r="O731" s="542"/>
      <c r="P731" s="545">
        <f>BOKFØRT!C731</f>
        <v>0</v>
      </c>
      <c r="Q731" s="583">
        <f t="shared" si="104"/>
        <v>0</v>
      </c>
      <c r="R731" s="199"/>
      <c r="S731" s="199"/>
    </row>
    <row r="732" spans="1:19" s="1" customFormat="1" ht="12.75">
      <c r="A732" s="395">
        <v>529069</v>
      </c>
      <c r="B732" s="420" t="s">
        <v>564</v>
      </c>
      <c r="C732" s="421" t="s">
        <v>416</v>
      </c>
      <c r="D732" s="422"/>
      <c r="E732" s="422"/>
      <c r="F732" s="423"/>
      <c r="G732" s="548">
        <f t="shared" si="105"/>
        <v>0</v>
      </c>
      <c r="H732" s="414"/>
      <c r="I732" s="540"/>
      <c r="J732" s="540"/>
      <c r="K732" s="403"/>
      <c r="L732" s="541">
        <f t="shared" si="103"/>
      </c>
      <c r="M732" s="542"/>
      <c r="N732" s="548">
        <v>0</v>
      </c>
      <c r="O732" s="542"/>
      <c r="P732" s="550">
        <f>BOKFØRT!C732</f>
        <v>0</v>
      </c>
      <c r="Q732" s="583">
        <f t="shared" si="104"/>
        <v>0</v>
      </c>
      <c r="R732" s="199"/>
      <c r="S732" s="199"/>
    </row>
    <row r="733" spans="1:19" s="1" customFormat="1" ht="13.5" thickBot="1">
      <c r="A733" s="445" t="s">
        <v>401</v>
      </c>
      <c r="B733" s="426"/>
      <c r="C733" s="451"/>
      <c r="D733" s="433"/>
      <c r="E733" s="434"/>
      <c r="F733" s="448" t="s">
        <v>570</v>
      </c>
      <c r="G733" s="558">
        <f>SUM(G711:G732)</f>
        <v>0</v>
      </c>
      <c r="H733" s="414"/>
      <c r="I733" s="555"/>
      <c r="J733" s="555"/>
      <c r="K733" s="394"/>
      <c r="L733" s="558">
        <f>SUM(L711:L732)</f>
        <v>0</v>
      </c>
      <c r="M733" s="542"/>
      <c r="N733" s="558">
        <v>0</v>
      </c>
      <c r="O733" s="542"/>
      <c r="P733" s="559">
        <f>SUM(P711:P732)</f>
        <v>0</v>
      </c>
      <c r="Q733" s="583">
        <f t="shared" si="104"/>
        <v>0</v>
      </c>
      <c r="R733" s="199"/>
      <c r="S733" s="199"/>
    </row>
    <row r="734" spans="1:19" s="1" customFormat="1" ht="0.75" customHeight="1" thickTop="1">
      <c r="A734" s="431"/>
      <c r="B734" s="432"/>
      <c r="C734" s="427"/>
      <c r="D734" s="450"/>
      <c r="E734" s="459"/>
      <c r="F734" s="450"/>
      <c r="G734" s="555"/>
      <c r="H734" s="458"/>
      <c r="I734" s="555"/>
      <c r="J734" s="555"/>
      <c r="K734" s="394"/>
      <c r="L734" s="555"/>
      <c r="M734" s="542"/>
      <c r="N734" s="555"/>
      <c r="O734" s="542"/>
      <c r="P734" s="565"/>
      <c r="Q734" s="583"/>
      <c r="R734" s="199"/>
      <c r="S734" s="199"/>
    </row>
    <row r="735" spans="1:19" s="1" customFormat="1" ht="24.75" customHeight="1" thickTop="1">
      <c r="A735" s="391" t="s">
        <v>533</v>
      </c>
      <c r="B735" s="432"/>
      <c r="C735" s="427"/>
      <c r="D735" s="511" t="s">
        <v>422</v>
      </c>
      <c r="E735" s="512" t="s">
        <v>423</v>
      </c>
      <c r="F735" s="511" t="s">
        <v>424</v>
      </c>
      <c r="G735" s="533" t="s">
        <v>425</v>
      </c>
      <c r="H735" s="511" t="s">
        <v>426</v>
      </c>
      <c r="I735" s="534" t="s">
        <v>427</v>
      </c>
      <c r="J735" s="534"/>
      <c r="K735" s="394"/>
      <c r="L735" s="533" t="s">
        <v>688</v>
      </c>
      <c r="M735" s="536"/>
      <c r="N735" s="533" t="s">
        <v>425</v>
      </c>
      <c r="O735" s="536"/>
      <c r="P735" s="533" t="s">
        <v>677</v>
      </c>
      <c r="Q735" s="583"/>
      <c r="R735" s="199"/>
      <c r="S735" s="199"/>
    </row>
    <row r="736" spans="1:19" s="1" customFormat="1" ht="12.75">
      <c r="A736" s="395">
        <v>533210</v>
      </c>
      <c r="B736" s="408" t="s">
        <v>586</v>
      </c>
      <c r="C736" s="397"/>
      <c r="D736" s="436"/>
      <c r="E736" s="436"/>
      <c r="F736" s="418"/>
      <c r="G736" s="537">
        <f aca="true" t="shared" si="106" ref="G736:G754">IF(X=0,(IF(Me=0,Sa,Me*Sa)),(IF(Me=0,Sa*X,Me*X*Sa)))</f>
        <v>0</v>
      </c>
      <c r="H736" s="538">
        <f aca="true" t="shared" si="107" ref="H736:H754">IF(Sum,Sos,0)</f>
        <v>0</v>
      </c>
      <c r="I736" s="539">
        <f aca="true" t="shared" si="108" ref="I736:I754">IF(Prosent&lt;&gt;0,(Sum*Prosent)/100,0)</f>
        <v>0</v>
      </c>
      <c r="J736" s="540"/>
      <c r="K736" s="403"/>
      <c r="L736" s="541">
        <f aca="true" t="shared" si="109" ref="L736:L771">IF(FMVAE&lt;&gt;"",(Sum*mva)-Sum,"")</f>
      </c>
      <c r="M736" s="542"/>
      <c r="N736" s="537">
        <v>0</v>
      </c>
      <c r="O736" s="542"/>
      <c r="P736" s="543">
        <f>BOKFØRT!C736</f>
        <v>0</v>
      </c>
      <c r="Q736" s="583">
        <f aca="true" t="shared" si="110" ref="Q736:Q773">G736+N736+P736</f>
        <v>0</v>
      </c>
      <c r="R736" s="199"/>
      <c r="S736" s="199"/>
    </row>
    <row r="737" spans="1:19" s="1" customFormat="1" ht="12.75">
      <c r="A737" s="395">
        <v>533211</v>
      </c>
      <c r="B737" s="408" t="s">
        <v>587</v>
      </c>
      <c r="C737" s="397"/>
      <c r="D737" s="438"/>
      <c r="E737" s="436"/>
      <c r="F737" s="439">
        <f>IF(D737=0,0,+G736)</f>
        <v>0</v>
      </c>
      <c r="G737" s="544">
        <f t="shared" si="106"/>
        <v>0</v>
      </c>
      <c r="H737" s="538">
        <f t="shared" si="107"/>
        <v>0</v>
      </c>
      <c r="I737" s="539">
        <f t="shared" si="108"/>
        <v>0</v>
      </c>
      <c r="J737" s="540"/>
      <c r="K737" s="403"/>
      <c r="L737" s="541">
        <f t="shared" si="109"/>
      </c>
      <c r="M737" s="542"/>
      <c r="N737" s="544">
        <v>0</v>
      </c>
      <c r="O737" s="542"/>
      <c r="P737" s="545">
        <f>BOKFØRT!C737</f>
        <v>0</v>
      </c>
      <c r="Q737" s="583">
        <f t="shared" si="110"/>
        <v>0</v>
      </c>
      <c r="R737" s="199"/>
      <c r="S737" s="199"/>
    </row>
    <row r="738" spans="1:19" s="1" customFormat="1" ht="12.75">
      <c r="A738" s="395">
        <v>533212</v>
      </c>
      <c r="B738" s="408" t="s">
        <v>294</v>
      </c>
      <c r="C738" s="397"/>
      <c r="D738" s="436"/>
      <c r="E738" s="436"/>
      <c r="F738" s="418"/>
      <c r="G738" s="544">
        <f t="shared" si="106"/>
        <v>0</v>
      </c>
      <c r="H738" s="538">
        <f t="shared" si="107"/>
        <v>0</v>
      </c>
      <c r="I738" s="539">
        <f t="shared" si="108"/>
        <v>0</v>
      </c>
      <c r="J738" s="540"/>
      <c r="K738" s="403"/>
      <c r="L738" s="541">
        <f t="shared" si="109"/>
      </c>
      <c r="M738" s="542"/>
      <c r="N738" s="544">
        <v>0</v>
      </c>
      <c r="O738" s="542"/>
      <c r="P738" s="545">
        <f>BOKFØRT!C738</f>
        <v>0</v>
      </c>
      <c r="Q738" s="583">
        <f t="shared" si="110"/>
        <v>0</v>
      </c>
      <c r="R738" s="199"/>
      <c r="S738" s="199"/>
    </row>
    <row r="739" spans="1:19" s="1" customFormat="1" ht="12.75">
      <c r="A739" s="395">
        <v>533213</v>
      </c>
      <c r="B739" s="437" t="s">
        <v>295</v>
      </c>
      <c r="C739" s="397"/>
      <c r="D739" s="438"/>
      <c r="E739" s="436"/>
      <c r="F739" s="439">
        <f>IF(D739=0,0,+G738)</f>
        <v>0</v>
      </c>
      <c r="G739" s="544">
        <f t="shared" si="106"/>
        <v>0</v>
      </c>
      <c r="H739" s="538">
        <f t="shared" si="107"/>
        <v>0</v>
      </c>
      <c r="I739" s="539">
        <f t="shared" si="108"/>
        <v>0</v>
      </c>
      <c r="J739" s="540"/>
      <c r="K739" s="403"/>
      <c r="L739" s="541">
        <f t="shared" si="109"/>
      </c>
      <c r="M739" s="542"/>
      <c r="N739" s="544">
        <v>0</v>
      </c>
      <c r="O739" s="542"/>
      <c r="P739" s="545">
        <f>BOKFØRT!C739</f>
        <v>0</v>
      </c>
      <c r="Q739" s="583">
        <f t="shared" si="110"/>
        <v>0</v>
      </c>
      <c r="R739" s="199"/>
      <c r="S739" s="199"/>
    </row>
    <row r="740" spans="1:19" s="1" customFormat="1" ht="12.75">
      <c r="A740" s="395">
        <v>533214</v>
      </c>
      <c r="B740" s="408" t="s">
        <v>296</v>
      </c>
      <c r="C740" s="397"/>
      <c r="D740" s="436"/>
      <c r="E740" s="436"/>
      <c r="F740" s="418"/>
      <c r="G740" s="544">
        <f t="shared" si="106"/>
        <v>0</v>
      </c>
      <c r="H740" s="538">
        <f t="shared" si="107"/>
        <v>0</v>
      </c>
      <c r="I740" s="539">
        <f t="shared" si="108"/>
        <v>0</v>
      </c>
      <c r="J740" s="540"/>
      <c r="K740" s="403"/>
      <c r="L740" s="541">
        <f t="shared" si="109"/>
      </c>
      <c r="M740" s="542"/>
      <c r="N740" s="544">
        <v>0</v>
      </c>
      <c r="O740" s="542"/>
      <c r="P740" s="545">
        <f>BOKFØRT!C740</f>
        <v>0</v>
      </c>
      <c r="Q740" s="583">
        <f t="shared" si="110"/>
        <v>0</v>
      </c>
      <c r="R740" s="199"/>
      <c r="S740" s="199"/>
    </row>
    <row r="741" spans="1:19" s="1" customFormat="1" ht="12.75">
      <c r="A741" s="395">
        <v>533215</v>
      </c>
      <c r="B741" s="408" t="s">
        <v>297</v>
      </c>
      <c r="C741" s="397"/>
      <c r="D741" s="438"/>
      <c r="E741" s="436"/>
      <c r="F741" s="439">
        <f>IF(D741=0,0,+G740)</f>
        <v>0</v>
      </c>
      <c r="G741" s="544">
        <f t="shared" si="106"/>
        <v>0</v>
      </c>
      <c r="H741" s="538">
        <f t="shared" si="107"/>
        <v>0</v>
      </c>
      <c r="I741" s="539">
        <f t="shared" si="108"/>
        <v>0</v>
      </c>
      <c r="J741" s="540"/>
      <c r="K741" s="403"/>
      <c r="L741" s="541">
        <f t="shared" si="109"/>
      </c>
      <c r="M741" s="542"/>
      <c r="N741" s="544">
        <v>0</v>
      </c>
      <c r="O741" s="542"/>
      <c r="P741" s="545">
        <f>BOKFØRT!C741</f>
        <v>0</v>
      </c>
      <c r="Q741" s="583">
        <f t="shared" si="110"/>
        <v>0</v>
      </c>
      <c r="R741" s="199"/>
      <c r="S741" s="199"/>
    </row>
    <row r="742" spans="1:19" s="1" customFormat="1" ht="12.75">
      <c r="A742" s="395">
        <v>533220</v>
      </c>
      <c r="B742" s="408" t="s">
        <v>298</v>
      </c>
      <c r="C742" s="397"/>
      <c r="D742" s="436"/>
      <c r="E742" s="436"/>
      <c r="F742" s="418"/>
      <c r="G742" s="544">
        <f t="shared" si="106"/>
        <v>0</v>
      </c>
      <c r="H742" s="538">
        <f t="shared" si="107"/>
        <v>0</v>
      </c>
      <c r="I742" s="539">
        <f t="shared" si="108"/>
        <v>0</v>
      </c>
      <c r="J742" s="540"/>
      <c r="K742" s="403"/>
      <c r="L742" s="541">
        <f t="shared" si="109"/>
      </c>
      <c r="M742" s="542"/>
      <c r="N742" s="544">
        <v>0</v>
      </c>
      <c r="O742" s="542"/>
      <c r="P742" s="545">
        <f>BOKFØRT!C742</f>
        <v>0</v>
      </c>
      <c r="Q742" s="583">
        <f t="shared" si="110"/>
        <v>0</v>
      </c>
      <c r="R742" s="199"/>
      <c r="S742" s="199"/>
    </row>
    <row r="743" spans="1:19" s="1" customFormat="1" ht="12.75">
      <c r="A743" s="395">
        <v>533221</v>
      </c>
      <c r="B743" s="437" t="s">
        <v>299</v>
      </c>
      <c r="C743" s="397"/>
      <c r="D743" s="438"/>
      <c r="E743" s="436"/>
      <c r="F743" s="439">
        <f>IF(D743=0,0,+G742)</f>
        <v>0</v>
      </c>
      <c r="G743" s="544">
        <f t="shared" si="106"/>
        <v>0</v>
      </c>
      <c r="H743" s="538">
        <f t="shared" si="107"/>
        <v>0</v>
      </c>
      <c r="I743" s="539">
        <f t="shared" si="108"/>
        <v>0</v>
      </c>
      <c r="J743" s="540"/>
      <c r="K743" s="403"/>
      <c r="L743" s="541">
        <f t="shared" si="109"/>
      </c>
      <c r="M743" s="542"/>
      <c r="N743" s="544">
        <v>0</v>
      </c>
      <c r="O743" s="542"/>
      <c r="P743" s="545">
        <f>BOKFØRT!C743</f>
        <v>0</v>
      </c>
      <c r="Q743" s="583">
        <f t="shared" si="110"/>
        <v>0</v>
      </c>
      <c r="R743" s="199"/>
      <c r="S743" s="199"/>
    </row>
    <row r="744" spans="1:19" s="1" customFormat="1" ht="12.75">
      <c r="A744" s="395">
        <v>533222</v>
      </c>
      <c r="B744" s="408" t="s">
        <v>300</v>
      </c>
      <c r="C744" s="397"/>
      <c r="D744" s="436"/>
      <c r="E744" s="436"/>
      <c r="F744" s="418"/>
      <c r="G744" s="544">
        <f t="shared" si="106"/>
        <v>0</v>
      </c>
      <c r="H744" s="538">
        <f t="shared" si="107"/>
        <v>0</v>
      </c>
      <c r="I744" s="539">
        <f t="shared" si="108"/>
        <v>0</v>
      </c>
      <c r="J744" s="540"/>
      <c r="K744" s="403"/>
      <c r="L744" s="541">
        <f t="shared" si="109"/>
      </c>
      <c r="M744" s="542"/>
      <c r="N744" s="544">
        <v>0</v>
      </c>
      <c r="O744" s="542"/>
      <c r="P744" s="545">
        <f>BOKFØRT!C744</f>
        <v>0</v>
      </c>
      <c r="Q744" s="583">
        <f t="shared" si="110"/>
        <v>0</v>
      </c>
      <c r="R744" s="199"/>
      <c r="S744" s="199"/>
    </row>
    <row r="745" spans="1:19" s="1" customFormat="1" ht="12.75">
      <c r="A745" s="395">
        <v>533223</v>
      </c>
      <c r="B745" s="437" t="s">
        <v>301</v>
      </c>
      <c r="C745" s="397"/>
      <c r="D745" s="438"/>
      <c r="E745" s="436"/>
      <c r="F745" s="439">
        <f>IF(D745=0,0,+G744)</f>
        <v>0</v>
      </c>
      <c r="G745" s="544">
        <f t="shared" si="106"/>
        <v>0</v>
      </c>
      <c r="H745" s="538">
        <f t="shared" si="107"/>
        <v>0</v>
      </c>
      <c r="I745" s="539">
        <f t="shared" si="108"/>
        <v>0</v>
      </c>
      <c r="J745" s="540"/>
      <c r="K745" s="403"/>
      <c r="L745" s="541">
        <f t="shared" si="109"/>
      </c>
      <c r="M745" s="542"/>
      <c r="N745" s="544">
        <v>0</v>
      </c>
      <c r="O745" s="542"/>
      <c r="P745" s="545">
        <f>BOKFØRT!C745</f>
        <v>0</v>
      </c>
      <c r="Q745" s="583">
        <f t="shared" si="110"/>
        <v>0</v>
      </c>
      <c r="R745" s="199"/>
      <c r="S745" s="199"/>
    </row>
    <row r="746" spans="1:19" s="1" customFormat="1" ht="12.75">
      <c r="A746" s="395">
        <v>533224</v>
      </c>
      <c r="B746" s="408" t="s">
        <v>215</v>
      </c>
      <c r="C746" s="397"/>
      <c r="D746" s="436"/>
      <c r="E746" s="436"/>
      <c r="F746" s="418"/>
      <c r="G746" s="544">
        <f t="shared" si="106"/>
        <v>0</v>
      </c>
      <c r="H746" s="538">
        <f t="shared" si="107"/>
        <v>0</v>
      </c>
      <c r="I746" s="539">
        <f t="shared" si="108"/>
        <v>0</v>
      </c>
      <c r="J746" s="540"/>
      <c r="K746" s="403"/>
      <c r="L746" s="541">
        <f t="shared" si="109"/>
      </c>
      <c r="M746" s="542"/>
      <c r="N746" s="544">
        <v>0</v>
      </c>
      <c r="O746" s="542"/>
      <c r="P746" s="545">
        <f>BOKFØRT!C746</f>
        <v>0</v>
      </c>
      <c r="Q746" s="583">
        <f t="shared" si="110"/>
        <v>0</v>
      </c>
      <c r="R746" s="199"/>
      <c r="S746" s="199"/>
    </row>
    <row r="747" spans="1:19" s="1" customFormat="1" ht="12.75">
      <c r="A747" s="395">
        <v>533225</v>
      </c>
      <c r="B747" s="408" t="s">
        <v>302</v>
      </c>
      <c r="C747" s="397"/>
      <c r="D747" s="438"/>
      <c r="E747" s="436"/>
      <c r="F747" s="439">
        <f>IF(D747=0,0,+G746)</f>
        <v>0</v>
      </c>
      <c r="G747" s="544">
        <f t="shared" si="106"/>
        <v>0</v>
      </c>
      <c r="H747" s="538">
        <f t="shared" si="107"/>
        <v>0</v>
      </c>
      <c r="I747" s="539">
        <f t="shared" si="108"/>
        <v>0</v>
      </c>
      <c r="J747" s="540"/>
      <c r="K747" s="403"/>
      <c r="L747" s="541">
        <f t="shared" si="109"/>
      </c>
      <c r="M747" s="542"/>
      <c r="N747" s="544">
        <v>0</v>
      </c>
      <c r="O747" s="542"/>
      <c r="P747" s="545">
        <f>BOKFØRT!C747</f>
        <v>0</v>
      </c>
      <c r="Q747" s="583">
        <f t="shared" si="110"/>
        <v>0</v>
      </c>
      <c r="R747" s="199"/>
      <c r="S747" s="199"/>
    </row>
    <row r="748" spans="1:19" s="1" customFormat="1" ht="12.75">
      <c r="A748" s="395">
        <v>533230</v>
      </c>
      <c r="B748" s="408" t="s">
        <v>303</v>
      </c>
      <c r="C748" s="397"/>
      <c r="D748" s="436"/>
      <c r="E748" s="436"/>
      <c r="F748" s="418"/>
      <c r="G748" s="544">
        <f t="shared" si="106"/>
        <v>0</v>
      </c>
      <c r="H748" s="538">
        <f t="shared" si="107"/>
        <v>0</v>
      </c>
      <c r="I748" s="539">
        <f t="shared" si="108"/>
        <v>0</v>
      </c>
      <c r="J748" s="540"/>
      <c r="K748" s="403"/>
      <c r="L748" s="541">
        <f t="shared" si="109"/>
      </c>
      <c r="M748" s="542"/>
      <c r="N748" s="544">
        <v>0</v>
      </c>
      <c r="O748" s="542"/>
      <c r="P748" s="545">
        <f>BOKFØRT!C748</f>
        <v>0</v>
      </c>
      <c r="Q748" s="583">
        <f t="shared" si="110"/>
        <v>0</v>
      </c>
      <c r="R748" s="199"/>
      <c r="S748" s="199"/>
    </row>
    <row r="749" spans="1:19" s="1" customFormat="1" ht="12.75">
      <c r="A749" s="395">
        <v>533231</v>
      </c>
      <c r="B749" s="437" t="s">
        <v>304</v>
      </c>
      <c r="C749" s="397"/>
      <c r="D749" s="438"/>
      <c r="E749" s="436"/>
      <c r="F749" s="439">
        <f>IF(D749=0,0,+G748)</f>
        <v>0</v>
      </c>
      <c r="G749" s="544">
        <f t="shared" si="106"/>
        <v>0</v>
      </c>
      <c r="H749" s="538">
        <f t="shared" si="107"/>
        <v>0</v>
      </c>
      <c r="I749" s="539">
        <f t="shared" si="108"/>
        <v>0</v>
      </c>
      <c r="J749" s="540"/>
      <c r="K749" s="403"/>
      <c r="L749" s="541">
        <f t="shared" si="109"/>
      </c>
      <c r="M749" s="542"/>
      <c r="N749" s="544">
        <v>0</v>
      </c>
      <c r="O749" s="542"/>
      <c r="P749" s="545">
        <f>BOKFØRT!C749</f>
        <v>0</v>
      </c>
      <c r="Q749" s="583">
        <f t="shared" si="110"/>
        <v>0</v>
      </c>
      <c r="R749" s="199"/>
      <c r="S749" s="199"/>
    </row>
    <row r="750" spans="1:19" s="1" customFormat="1" ht="12.75">
      <c r="A750" s="395">
        <v>533240</v>
      </c>
      <c r="B750" s="408" t="s">
        <v>305</v>
      </c>
      <c r="C750" s="397"/>
      <c r="D750" s="436"/>
      <c r="E750" s="436"/>
      <c r="F750" s="418"/>
      <c r="G750" s="544">
        <f t="shared" si="106"/>
        <v>0</v>
      </c>
      <c r="H750" s="538">
        <f t="shared" si="107"/>
        <v>0</v>
      </c>
      <c r="I750" s="539">
        <f t="shared" si="108"/>
        <v>0</v>
      </c>
      <c r="J750" s="540"/>
      <c r="K750" s="403"/>
      <c r="L750" s="541">
        <f t="shared" si="109"/>
      </c>
      <c r="M750" s="542"/>
      <c r="N750" s="544">
        <v>0</v>
      </c>
      <c r="O750" s="542"/>
      <c r="P750" s="545">
        <f>BOKFØRT!C750</f>
        <v>0</v>
      </c>
      <c r="Q750" s="583">
        <f t="shared" si="110"/>
        <v>0</v>
      </c>
      <c r="R750" s="199"/>
      <c r="S750" s="199"/>
    </row>
    <row r="751" spans="1:19" s="1" customFormat="1" ht="12.75">
      <c r="A751" s="395">
        <v>533241</v>
      </c>
      <c r="B751" s="408" t="s">
        <v>306</v>
      </c>
      <c r="C751" s="397"/>
      <c r="D751" s="438"/>
      <c r="E751" s="436"/>
      <c r="F751" s="439">
        <f>IF(D751=0,0,+G750)</f>
        <v>0</v>
      </c>
      <c r="G751" s="544">
        <f t="shared" si="106"/>
        <v>0</v>
      </c>
      <c r="H751" s="538">
        <f t="shared" si="107"/>
        <v>0</v>
      </c>
      <c r="I751" s="539">
        <f t="shared" si="108"/>
        <v>0</v>
      </c>
      <c r="J751" s="540"/>
      <c r="K751" s="403"/>
      <c r="L751" s="541">
        <f t="shared" si="109"/>
      </c>
      <c r="M751" s="542"/>
      <c r="N751" s="544">
        <v>0</v>
      </c>
      <c r="O751" s="542"/>
      <c r="P751" s="545">
        <f>BOKFØRT!C751</f>
        <v>0</v>
      </c>
      <c r="Q751" s="583">
        <f t="shared" si="110"/>
        <v>0</v>
      </c>
      <c r="R751" s="199"/>
      <c r="S751" s="199"/>
    </row>
    <row r="752" spans="1:19" s="1" customFormat="1" ht="12.75">
      <c r="A752" s="395">
        <v>533250</v>
      </c>
      <c r="B752" s="408" t="s">
        <v>307</v>
      </c>
      <c r="C752" s="397"/>
      <c r="D752" s="436"/>
      <c r="E752" s="436"/>
      <c r="F752" s="418"/>
      <c r="G752" s="544">
        <f t="shared" si="106"/>
        <v>0</v>
      </c>
      <c r="H752" s="538">
        <f t="shared" si="107"/>
        <v>0</v>
      </c>
      <c r="I752" s="539">
        <f t="shared" si="108"/>
        <v>0</v>
      </c>
      <c r="J752" s="540"/>
      <c r="K752" s="403"/>
      <c r="L752" s="541">
        <f t="shared" si="109"/>
      </c>
      <c r="M752" s="542"/>
      <c r="N752" s="544">
        <v>0</v>
      </c>
      <c r="O752" s="542"/>
      <c r="P752" s="545">
        <f>BOKFØRT!C752</f>
        <v>0</v>
      </c>
      <c r="Q752" s="583">
        <f t="shared" si="110"/>
        <v>0</v>
      </c>
      <c r="R752" s="199"/>
      <c r="S752" s="199"/>
    </row>
    <row r="753" spans="1:19" s="1" customFormat="1" ht="12.75">
      <c r="A753" s="395">
        <v>533251</v>
      </c>
      <c r="B753" s="408" t="s">
        <v>308</v>
      </c>
      <c r="C753" s="397"/>
      <c r="D753" s="438"/>
      <c r="E753" s="436"/>
      <c r="F753" s="439">
        <f>IF(D753=0,0,+G752)</f>
        <v>0</v>
      </c>
      <c r="G753" s="544">
        <f t="shared" si="106"/>
        <v>0</v>
      </c>
      <c r="H753" s="538">
        <f t="shared" si="107"/>
        <v>0</v>
      </c>
      <c r="I753" s="539">
        <f t="shared" si="108"/>
        <v>0</v>
      </c>
      <c r="J753" s="540"/>
      <c r="K753" s="403"/>
      <c r="L753" s="541">
        <f t="shared" si="109"/>
      </c>
      <c r="M753" s="542"/>
      <c r="N753" s="544">
        <v>0</v>
      </c>
      <c r="O753" s="542"/>
      <c r="P753" s="545">
        <f>BOKFØRT!C753</f>
        <v>0</v>
      </c>
      <c r="Q753" s="583">
        <f t="shared" si="110"/>
        <v>0</v>
      </c>
      <c r="R753" s="199"/>
      <c r="S753" s="199"/>
    </row>
    <row r="754" spans="1:19" s="1" customFormat="1" ht="12.75">
      <c r="A754" s="395">
        <v>534092</v>
      </c>
      <c r="B754" s="408" t="s">
        <v>590</v>
      </c>
      <c r="C754" s="397"/>
      <c r="D754" s="436"/>
      <c r="E754" s="436"/>
      <c r="F754" s="418"/>
      <c r="G754" s="544">
        <f t="shared" si="106"/>
        <v>0</v>
      </c>
      <c r="H754" s="538">
        <f t="shared" si="107"/>
        <v>0</v>
      </c>
      <c r="I754" s="539">
        <f t="shared" si="108"/>
        <v>0</v>
      </c>
      <c r="J754" s="540"/>
      <c r="K754" s="403"/>
      <c r="L754" s="541">
        <f t="shared" si="109"/>
      </c>
      <c r="M754" s="542"/>
      <c r="N754" s="544">
        <v>0</v>
      </c>
      <c r="O754" s="542"/>
      <c r="P754" s="545">
        <f>BOKFØRT!C754</f>
        <v>0</v>
      </c>
      <c r="Q754" s="583">
        <f t="shared" si="110"/>
        <v>0</v>
      </c>
      <c r="R754" s="199"/>
      <c r="S754" s="199"/>
    </row>
    <row r="755" spans="1:19" s="1" customFormat="1" ht="12.75">
      <c r="A755" s="395">
        <v>534095</v>
      </c>
      <c r="B755" s="408" t="s">
        <v>554</v>
      </c>
      <c r="C755" s="397"/>
      <c r="D755" s="440"/>
      <c r="E755" s="440"/>
      <c r="F755" s="449"/>
      <c r="G755" s="562">
        <f>SUM(I736:I754)</f>
        <v>0</v>
      </c>
      <c r="H755" s="458"/>
      <c r="I755" s="546" t="s">
        <v>555</v>
      </c>
      <c r="J755" s="546"/>
      <c r="K755" s="573"/>
      <c r="L755" s="541"/>
      <c r="M755" s="542"/>
      <c r="N755" s="562">
        <v>0</v>
      </c>
      <c r="O755" s="542"/>
      <c r="P755" s="545">
        <f>BOKFØRT!C755</f>
        <v>0</v>
      </c>
      <c r="Q755" s="583">
        <f t="shared" si="110"/>
        <v>0</v>
      </c>
      <c r="R755" s="199"/>
      <c r="S755" s="199"/>
    </row>
    <row r="756" spans="1:19" s="1" customFormat="1" ht="12.75">
      <c r="A756" s="395">
        <v>538201</v>
      </c>
      <c r="B756" s="437" t="s">
        <v>309</v>
      </c>
      <c r="C756" s="397"/>
      <c r="D756" s="436"/>
      <c r="E756" s="436"/>
      <c r="F756" s="418"/>
      <c r="G756" s="544">
        <f aca="true" t="shared" si="111" ref="G756:G771">IF(X=0,(IF(Me=0,Sa,Me*Sa)),(IF(Me=0,Sa*X,Me*X*Sa)))</f>
        <v>0</v>
      </c>
      <c r="H756" s="414"/>
      <c r="I756" s="540"/>
      <c r="J756" s="540"/>
      <c r="K756" s="403"/>
      <c r="L756" s="541">
        <f t="shared" si="109"/>
      </c>
      <c r="M756" s="542"/>
      <c r="N756" s="544">
        <v>0</v>
      </c>
      <c r="O756" s="542"/>
      <c r="P756" s="545">
        <f>BOKFØRT!C756</f>
        <v>0</v>
      </c>
      <c r="Q756" s="583">
        <f t="shared" si="110"/>
        <v>0</v>
      </c>
      <c r="R756" s="199"/>
      <c r="S756" s="199"/>
    </row>
    <row r="757" spans="1:19" s="1" customFormat="1" ht="12.75">
      <c r="A757" s="395">
        <v>538220</v>
      </c>
      <c r="B757" s="408" t="s">
        <v>310</v>
      </c>
      <c r="C757" s="397"/>
      <c r="D757" s="436"/>
      <c r="E757" s="436"/>
      <c r="F757" s="418"/>
      <c r="G757" s="544">
        <f t="shared" si="111"/>
        <v>0</v>
      </c>
      <c r="H757" s="414"/>
      <c r="I757" s="540"/>
      <c r="J757" s="540"/>
      <c r="K757" s="403"/>
      <c r="L757" s="541">
        <f t="shared" si="109"/>
      </c>
      <c r="M757" s="542"/>
      <c r="N757" s="544">
        <v>0</v>
      </c>
      <c r="O757" s="542"/>
      <c r="P757" s="545">
        <f>BOKFØRT!C757</f>
        <v>0</v>
      </c>
      <c r="Q757" s="583">
        <f t="shared" si="110"/>
        <v>0</v>
      </c>
      <c r="R757" s="199"/>
      <c r="S757" s="199"/>
    </row>
    <row r="758" spans="1:19" s="1" customFormat="1" ht="12.75">
      <c r="A758" s="395">
        <v>538232</v>
      </c>
      <c r="B758" s="408" t="s">
        <v>311</v>
      </c>
      <c r="C758" s="397"/>
      <c r="D758" s="436"/>
      <c r="E758" s="436"/>
      <c r="F758" s="418"/>
      <c r="G758" s="544">
        <f t="shared" si="111"/>
        <v>0</v>
      </c>
      <c r="H758" s="458"/>
      <c r="I758" s="540"/>
      <c r="J758" s="540"/>
      <c r="K758" s="403"/>
      <c r="L758" s="541">
        <f t="shared" si="109"/>
      </c>
      <c r="M758" s="542"/>
      <c r="N758" s="544">
        <v>0</v>
      </c>
      <c r="O758" s="542"/>
      <c r="P758" s="545">
        <f>BOKFØRT!C758</f>
        <v>0</v>
      </c>
      <c r="Q758" s="583">
        <f t="shared" si="110"/>
        <v>0</v>
      </c>
      <c r="R758" s="199"/>
      <c r="S758" s="199"/>
    </row>
    <row r="759" spans="1:19" s="1" customFormat="1" ht="12.75">
      <c r="A759" s="395">
        <v>538233</v>
      </c>
      <c r="B759" s="408" t="s">
        <v>317</v>
      </c>
      <c r="C759" s="397"/>
      <c r="D759" s="436"/>
      <c r="E759" s="436"/>
      <c r="F759" s="418"/>
      <c r="G759" s="544">
        <f t="shared" si="111"/>
        <v>0</v>
      </c>
      <c r="H759" s="414"/>
      <c r="I759" s="540"/>
      <c r="J759" s="540"/>
      <c r="K759" s="403"/>
      <c r="L759" s="541">
        <f t="shared" si="109"/>
      </c>
      <c r="M759" s="542"/>
      <c r="N759" s="544">
        <v>0</v>
      </c>
      <c r="O759" s="542"/>
      <c r="P759" s="545">
        <f>BOKFØRT!C759</f>
        <v>0</v>
      </c>
      <c r="Q759" s="583">
        <f t="shared" si="110"/>
        <v>0</v>
      </c>
      <c r="R759" s="199"/>
      <c r="S759" s="199"/>
    </row>
    <row r="760" spans="1:19" s="1" customFormat="1" ht="12.75">
      <c r="A760" s="395">
        <v>538239</v>
      </c>
      <c r="B760" s="408" t="s">
        <v>318</v>
      </c>
      <c r="C760" s="397"/>
      <c r="D760" s="436"/>
      <c r="E760" s="436"/>
      <c r="F760" s="418"/>
      <c r="G760" s="544">
        <f t="shared" si="111"/>
        <v>0</v>
      </c>
      <c r="H760" s="414"/>
      <c r="I760" s="540"/>
      <c r="J760" s="540"/>
      <c r="K760" s="403"/>
      <c r="L760" s="541">
        <f t="shared" si="109"/>
      </c>
      <c r="M760" s="542"/>
      <c r="N760" s="544">
        <v>0</v>
      </c>
      <c r="O760" s="542"/>
      <c r="P760" s="545">
        <f>BOKFØRT!C760</f>
        <v>0</v>
      </c>
      <c r="Q760" s="583">
        <f t="shared" si="110"/>
        <v>0</v>
      </c>
      <c r="R760" s="199"/>
      <c r="S760" s="199"/>
    </row>
    <row r="761" spans="1:19" s="1" customFormat="1" ht="12.75">
      <c r="A761" s="395">
        <v>538240</v>
      </c>
      <c r="B761" s="408" t="s">
        <v>319</v>
      </c>
      <c r="C761" s="397"/>
      <c r="D761" s="436"/>
      <c r="E761" s="436"/>
      <c r="F761" s="418"/>
      <c r="G761" s="544">
        <f t="shared" si="111"/>
        <v>0</v>
      </c>
      <c r="H761" s="414"/>
      <c r="I761" s="540"/>
      <c r="J761" s="540"/>
      <c r="K761" s="403"/>
      <c r="L761" s="541">
        <f t="shared" si="109"/>
      </c>
      <c r="M761" s="542"/>
      <c r="N761" s="544">
        <v>0</v>
      </c>
      <c r="O761" s="542"/>
      <c r="P761" s="545">
        <f>BOKFØRT!C761</f>
        <v>0</v>
      </c>
      <c r="Q761" s="583">
        <f t="shared" si="110"/>
        <v>0</v>
      </c>
      <c r="R761" s="199"/>
      <c r="S761" s="199"/>
    </row>
    <row r="762" spans="1:19" s="1" customFormat="1" ht="12.75">
      <c r="A762" s="395">
        <v>538250</v>
      </c>
      <c r="B762" s="408" t="s">
        <v>320</v>
      </c>
      <c r="C762" s="397"/>
      <c r="D762" s="436"/>
      <c r="E762" s="436"/>
      <c r="F762" s="418"/>
      <c r="G762" s="544">
        <f t="shared" si="111"/>
        <v>0</v>
      </c>
      <c r="H762" s="458"/>
      <c r="I762" s="540"/>
      <c r="J762" s="540"/>
      <c r="K762" s="403"/>
      <c r="L762" s="541">
        <f t="shared" si="109"/>
      </c>
      <c r="M762" s="542"/>
      <c r="N762" s="544">
        <v>0</v>
      </c>
      <c r="O762" s="542"/>
      <c r="P762" s="545">
        <f>BOKFØRT!C762</f>
        <v>0</v>
      </c>
      <c r="Q762" s="583">
        <f t="shared" si="110"/>
        <v>0</v>
      </c>
      <c r="R762" s="199"/>
      <c r="S762" s="199"/>
    </row>
    <row r="763" spans="1:19" s="1" customFormat="1" ht="12.75">
      <c r="A763" s="395">
        <v>538260</v>
      </c>
      <c r="B763" s="408" t="s">
        <v>321</v>
      </c>
      <c r="C763" s="397"/>
      <c r="D763" s="436"/>
      <c r="E763" s="436"/>
      <c r="F763" s="418"/>
      <c r="G763" s="544">
        <f t="shared" si="111"/>
        <v>0</v>
      </c>
      <c r="H763" s="414"/>
      <c r="I763" s="540"/>
      <c r="J763" s="540"/>
      <c r="K763" s="403"/>
      <c r="L763" s="541">
        <f t="shared" si="109"/>
      </c>
      <c r="M763" s="542"/>
      <c r="N763" s="544">
        <v>0</v>
      </c>
      <c r="O763" s="542"/>
      <c r="P763" s="545">
        <f>BOKFØRT!C763</f>
        <v>0</v>
      </c>
      <c r="Q763" s="583">
        <f t="shared" si="110"/>
        <v>0</v>
      </c>
      <c r="R763" s="199"/>
      <c r="S763" s="199"/>
    </row>
    <row r="764" spans="1:19" s="1" customFormat="1" ht="12.75">
      <c r="A764" s="395">
        <v>538261</v>
      </c>
      <c r="B764" s="408" t="s">
        <v>322</v>
      </c>
      <c r="C764" s="397"/>
      <c r="D764" s="436"/>
      <c r="E764" s="436"/>
      <c r="F764" s="418"/>
      <c r="G764" s="544">
        <f t="shared" si="111"/>
        <v>0</v>
      </c>
      <c r="H764" s="414"/>
      <c r="I764" s="540"/>
      <c r="J764" s="540"/>
      <c r="K764" s="403"/>
      <c r="L764" s="541">
        <f t="shared" si="109"/>
      </c>
      <c r="M764" s="542"/>
      <c r="N764" s="544">
        <v>0</v>
      </c>
      <c r="O764" s="542"/>
      <c r="P764" s="545">
        <f>BOKFØRT!C764</f>
        <v>0</v>
      </c>
      <c r="Q764" s="583">
        <f t="shared" si="110"/>
        <v>0</v>
      </c>
      <c r="R764" s="199"/>
      <c r="S764" s="199"/>
    </row>
    <row r="765" spans="1:19" s="1" customFormat="1" ht="12.75">
      <c r="A765" s="395">
        <v>538264</v>
      </c>
      <c r="B765" s="408" t="s">
        <v>323</v>
      </c>
      <c r="C765" s="397"/>
      <c r="D765" s="436"/>
      <c r="E765" s="436"/>
      <c r="F765" s="418"/>
      <c r="G765" s="544">
        <f t="shared" si="111"/>
        <v>0</v>
      </c>
      <c r="H765" s="414"/>
      <c r="I765" s="540"/>
      <c r="J765" s="540"/>
      <c r="K765" s="403"/>
      <c r="L765" s="541">
        <f t="shared" si="109"/>
      </c>
      <c r="M765" s="542"/>
      <c r="N765" s="544">
        <v>0</v>
      </c>
      <c r="O765" s="542"/>
      <c r="P765" s="545">
        <f>BOKFØRT!C765</f>
        <v>0</v>
      </c>
      <c r="Q765" s="583">
        <f t="shared" si="110"/>
        <v>0</v>
      </c>
      <c r="R765" s="199"/>
      <c r="S765" s="199"/>
    </row>
    <row r="766" spans="1:19" s="1" customFormat="1" ht="12.75">
      <c r="A766" s="395">
        <v>538266</v>
      </c>
      <c r="B766" s="408" t="s">
        <v>324</v>
      </c>
      <c r="C766" s="397"/>
      <c r="D766" s="436"/>
      <c r="E766" s="436"/>
      <c r="F766" s="418"/>
      <c r="G766" s="544">
        <f t="shared" si="111"/>
        <v>0</v>
      </c>
      <c r="H766" s="414"/>
      <c r="I766" s="540"/>
      <c r="J766" s="540"/>
      <c r="K766" s="403"/>
      <c r="L766" s="541">
        <f t="shared" si="109"/>
      </c>
      <c r="M766" s="542"/>
      <c r="N766" s="544">
        <v>0</v>
      </c>
      <c r="O766" s="542"/>
      <c r="P766" s="545">
        <f>BOKFØRT!C766</f>
        <v>0</v>
      </c>
      <c r="Q766" s="583">
        <f t="shared" si="110"/>
        <v>0</v>
      </c>
      <c r="R766" s="199"/>
      <c r="S766" s="199"/>
    </row>
    <row r="767" spans="1:19" s="1" customFormat="1" ht="12.75">
      <c r="A767" s="395">
        <v>538270</v>
      </c>
      <c r="B767" s="408" t="s">
        <v>325</v>
      </c>
      <c r="C767" s="397"/>
      <c r="D767" s="436"/>
      <c r="E767" s="436"/>
      <c r="F767" s="418"/>
      <c r="G767" s="544">
        <f t="shared" si="111"/>
        <v>0</v>
      </c>
      <c r="H767" s="414"/>
      <c r="I767" s="540"/>
      <c r="J767" s="540"/>
      <c r="K767" s="403"/>
      <c r="L767" s="541">
        <f t="shared" si="109"/>
      </c>
      <c r="M767" s="542"/>
      <c r="N767" s="544">
        <v>0</v>
      </c>
      <c r="O767" s="542"/>
      <c r="P767" s="545">
        <f>BOKFØRT!C767</f>
        <v>0</v>
      </c>
      <c r="Q767" s="583">
        <f t="shared" si="110"/>
        <v>0</v>
      </c>
      <c r="R767" s="199"/>
      <c r="S767" s="199"/>
    </row>
    <row r="768" spans="1:19" s="1" customFormat="1" ht="12.75">
      <c r="A768" s="395">
        <v>538280</v>
      </c>
      <c r="B768" s="408" t="s">
        <v>326</v>
      </c>
      <c r="C768" s="397"/>
      <c r="D768" s="436"/>
      <c r="E768" s="436"/>
      <c r="F768" s="418"/>
      <c r="G768" s="544">
        <f t="shared" si="111"/>
        <v>0</v>
      </c>
      <c r="H768" s="414"/>
      <c r="I768" s="540"/>
      <c r="J768" s="540"/>
      <c r="K768" s="403"/>
      <c r="L768" s="541">
        <f t="shared" si="109"/>
      </c>
      <c r="M768" s="542"/>
      <c r="N768" s="544">
        <v>0</v>
      </c>
      <c r="O768" s="542"/>
      <c r="P768" s="545">
        <f>BOKFØRT!C768</f>
        <v>0</v>
      </c>
      <c r="Q768" s="583">
        <f t="shared" si="110"/>
        <v>0</v>
      </c>
      <c r="R768" s="199"/>
      <c r="S768" s="199"/>
    </row>
    <row r="769" spans="1:19" s="1" customFormat="1" ht="12.75">
      <c r="A769" s="395">
        <v>538281</v>
      </c>
      <c r="B769" s="408" t="s">
        <v>327</v>
      </c>
      <c r="C769" s="397"/>
      <c r="D769" s="436"/>
      <c r="E769" s="436"/>
      <c r="F769" s="418"/>
      <c r="G769" s="544">
        <f t="shared" si="111"/>
        <v>0</v>
      </c>
      <c r="H769" s="414"/>
      <c r="I769" s="540"/>
      <c r="J769" s="540"/>
      <c r="K769" s="403"/>
      <c r="L769" s="541">
        <f t="shared" si="109"/>
      </c>
      <c r="M769" s="542"/>
      <c r="N769" s="544">
        <v>0</v>
      </c>
      <c r="O769" s="542"/>
      <c r="P769" s="545">
        <f>BOKFØRT!C769</f>
        <v>0</v>
      </c>
      <c r="Q769" s="583">
        <f t="shared" si="110"/>
        <v>0</v>
      </c>
      <c r="R769" s="199"/>
      <c r="S769" s="199"/>
    </row>
    <row r="770" spans="1:19" s="1" customFormat="1" ht="12.75">
      <c r="A770" s="395">
        <v>539027</v>
      </c>
      <c r="B770" s="408" t="s">
        <v>15</v>
      </c>
      <c r="C770" s="397"/>
      <c r="D770" s="436"/>
      <c r="E770" s="436"/>
      <c r="F770" s="418"/>
      <c r="G770" s="544">
        <f t="shared" si="111"/>
        <v>0</v>
      </c>
      <c r="H770" s="414"/>
      <c r="I770" s="540"/>
      <c r="J770" s="540"/>
      <c r="K770" s="403"/>
      <c r="L770" s="541">
        <f t="shared" si="109"/>
      </c>
      <c r="M770" s="542"/>
      <c r="N770" s="544">
        <v>0</v>
      </c>
      <c r="O770" s="542"/>
      <c r="P770" s="545">
        <f>BOKFØRT!C770</f>
        <v>0</v>
      </c>
      <c r="Q770" s="583">
        <f t="shared" si="110"/>
        <v>0</v>
      </c>
      <c r="R770" s="199"/>
      <c r="S770" s="199"/>
    </row>
    <row r="771" spans="1:19" s="1" customFormat="1" ht="12.75">
      <c r="A771" s="395">
        <v>539069</v>
      </c>
      <c r="B771" s="420" t="s">
        <v>564</v>
      </c>
      <c r="C771" s="421" t="s">
        <v>416</v>
      </c>
      <c r="D771" s="422"/>
      <c r="E771" s="422"/>
      <c r="F771" s="423"/>
      <c r="G771" s="548">
        <f t="shared" si="111"/>
        <v>0</v>
      </c>
      <c r="H771" s="414"/>
      <c r="I771" s="540"/>
      <c r="J771" s="540"/>
      <c r="K771" s="403"/>
      <c r="L771" s="541">
        <f t="shared" si="109"/>
      </c>
      <c r="M771" s="542"/>
      <c r="N771" s="548">
        <v>0</v>
      </c>
      <c r="O771" s="542"/>
      <c r="P771" s="550">
        <f>BOKFØRT!C771</f>
        <v>0</v>
      </c>
      <c r="Q771" s="583">
        <f t="shared" si="110"/>
        <v>0</v>
      </c>
      <c r="R771" s="199"/>
      <c r="S771" s="199"/>
    </row>
    <row r="772" spans="1:19" s="1" customFormat="1" ht="13.5" thickBot="1">
      <c r="A772" s="445" t="s">
        <v>401</v>
      </c>
      <c r="B772" s="426"/>
      <c r="C772" s="451"/>
      <c r="D772" s="433"/>
      <c r="E772" s="434"/>
      <c r="F772" s="448" t="s">
        <v>570</v>
      </c>
      <c r="G772" s="558">
        <f>SUM(G736:G771)</f>
        <v>0</v>
      </c>
      <c r="H772" s="414"/>
      <c r="I772" s="555"/>
      <c r="J772" s="555"/>
      <c r="K772" s="394"/>
      <c r="L772" s="558">
        <f>SUM(L736:L771)</f>
        <v>0</v>
      </c>
      <c r="M772" s="542"/>
      <c r="N772" s="558">
        <v>0</v>
      </c>
      <c r="O772" s="542"/>
      <c r="P772" s="559">
        <f>SUM(P736:P771)</f>
        <v>0</v>
      </c>
      <c r="Q772" s="583">
        <f t="shared" si="110"/>
        <v>0</v>
      </c>
      <c r="R772" s="199"/>
      <c r="S772" s="199"/>
    </row>
    <row r="773" spans="1:19" s="1" customFormat="1" ht="0.75" customHeight="1" thickTop="1">
      <c r="A773" s="431"/>
      <c r="B773" s="432"/>
      <c r="C773" s="427"/>
      <c r="D773" s="450"/>
      <c r="E773" s="459"/>
      <c r="F773" s="450"/>
      <c r="G773" s="555"/>
      <c r="H773" s="458"/>
      <c r="I773" s="540"/>
      <c r="J773" s="540"/>
      <c r="K773" s="394"/>
      <c r="L773" s="555"/>
      <c r="M773" s="542"/>
      <c r="N773" s="555"/>
      <c r="O773" s="542"/>
      <c r="P773" s="565"/>
      <c r="Q773" s="583">
        <f t="shared" si="110"/>
        <v>0</v>
      </c>
      <c r="R773" s="199"/>
      <c r="S773" s="199"/>
    </row>
    <row r="774" spans="1:19" s="1" customFormat="1" ht="24.75" customHeight="1" thickTop="1">
      <c r="A774" s="391" t="s">
        <v>534</v>
      </c>
      <c r="B774" s="456"/>
      <c r="C774" s="427"/>
      <c r="D774" s="511" t="s">
        <v>422</v>
      </c>
      <c r="E774" s="512" t="s">
        <v>423</v>
      </c>
      <c r="F774" s="511" t="s">
        <v>424</v>
      </c>
      <c r="G774" s="533" t="s">
        <v>425</v>
      </c>
      <c r="H774" s="511" t="s">
        <v>426</v>
      </c>
      <c r="I774" s="534" t="s">
        <v>427</v>
      </c>
      <c r="J774" s="534"/>
      <c r="K774" s="394"/>
      <c r="L774" s="533" t="s">
        <v>688</v>
      </c>
      <c r="M774" s="536"/>
      <c r="N774" s="533" t="s">
        <v>425</v>
      </c>
      <c r="O774" s="536"/>
      <c r="P774" s="533" t="s">
        <v>677</v>
      </c>
      <c r="Q774" s="583"/>
      <c r="R774" s="199"/>
      <c r="S774" s="199"/>
    </row>
    <row r="775" spans="1:19" s="1" customFormat="1" ht="12.75">
      <c r="A775" s="395">
        <v>543310</v>
      </c>
      <c r="B775" s="408" t="s">
        <v>329</v>
      </c>
      <c r="C775" s="397"/>
      <c r="D775" s="436"/>
      <c r="E775" s="436"/>
      <c r="F775" s="418"/>
      <c r="G775" s="537">
        <f aca="true" t="shared" si="112" ref="G775:G781">IF(X=0,(IF(Me=0,Sa,Me*Sa)),(IF(Me=0,Sa*X,Me*X*Sa)))</f>
        <v>0</v>
      </c>
      <c r="H775" s="538">
        <f aca="true" t="shared" si="113" ref="H775:H781">IF(Sum,Sos,0)</f>
        <v>0</v>
      </c>
      <c r="I775" s="539">
        <f aca="true" t="shared" si="114" ref="I775:I781">IF(Prosent&lt;&gt;0,(Sum*Prosent)/100,0)</f>
        <v>0</v>
      </c>
      <c r="J775" s="540"/>
      <c r="K775" s="403"/>
      <c r="L775" s="541">
        <f aca="true" t="shared" si="115" ref="L775:L795">IF(FMVAE&lt;&gt;"",(Sum*mva)-Sum,"")</f>
      </c>
      <c r="M775" s="542"/>
      <c r="N775" s="537">
        <v>0</v>
      </c>
      <c r="O775" s="542"/>
      <c r="P775" s="543">
        <f>BOKFØRT!C775</f>
        <v>0</v>
      </c>
      <c r="Q775" s="583">
        <f aca="true" t="shared" si="116" ref="Q775:Q796">G775+N775+P775</f>
        <v>0</v>
      </c>
      <c r="R775" s="199"/>
      <c r="S775" s="199"/>
    </row>
    <row r="776" spans="1:19" s="1" customFormat="1" ht="12.75">
      <c r="A776" s="395">
        <v>543312</v>
      </c>
      <c r="B776" s="408" t="s">
        <v>330</v>
      </c>
      <c r="C776" s="397"/>
      <c r="D776" s="436"/>
      <c r="E776" s="436"/>
      <c r="F776" s="418"/>
      <c r="G776" s="544">
        <f t="shared" si="112"/>
        <v>0</v>
      </c>
      <c r="H776" s="538">
        <f t="shared" si="113"/>
        <v>0</v>
      </c>
      <c r="I776" s="539">
        <f t="shared" si="114"/>
        <v>0</v>
      </c>
      <c r="J776" s="540"/>
      <c r="K776" s="403"/>
      <c r="L776" s="541">
        <f t="shared" si="115"/>
      </c>
      <c r="M776" s="542"/>
      <c r="N776" s="544">
        <v>0</v>
      </c>
      <c r="O776" s="542"/>
      <c r="P776" s="545">
        <f>BOKFØRT!C776</f>
        <v>0</v>
      </c>
      <c r="Q776" s="583">
        <f t="shared" si="116"/>
        <v>0</v>
      </c>
      <c r="R776" s="199"/>
      <c r="S776" s="199"/>
    </row>
    <row r="777" spans="1:19" s="1" customFormat="1" ht="12.75">
      <c r="A777" s="395">
        <v>543314</v>
      </c>
      <c r="B777" s="408" t="s">
        <v>331</v>
      </c>
      <c r="C777" s="397"/>
      <c r="D777" s="436"/>
      <c r="E777" s="436"/>
      <c r="F777" s="418"/>
      <c r="G777" s="544">
        <f t="shared" si="112"/>
        <v>0</v>
      </c>
      <c r="H777" s="538">
        <f t="shared" si="113"/>
        <v>0</v>
      </c>
      <c r="I777" s="539">
        <f t="shared" si="114"/>
        <v>0</v>
      </c>
      <c r="J777" s="540"/>
      <c r="K777" s="403"/>
      <c r="L777" s="541">
        <f t="shared" si="115"/>
      </c>
      <c r="M777" s="542"/>
      <c r="N777" s="544">
        <v>0</v>
      </c>
      <c r="O777" s="542"/>
      <c r="P777" s="545">
        <f>BOKFØRT!C777</f>
        <v>0</v>
      </c>
      <c r="Q777" s="583">
        <f t="shared" si="116"/>
        <v>0</v>
      </c>
      <c r="R777" s="199"/>
      <c r="S777" s="199"/>
    </row>
    <row r="778" spans="1:19" s="1" customFormat="1" ht="12.75">
      <c r="A778" s="395">
        <v>543320</v>
      </c>
      <c r="B778" s="408" t="s">
        <v>332</v>
      </c>
      <c r="C778" s="397"/>
      <c r="D778" s="436"/>
      <c r="E778" s="436"/>
      <c r="F778" s="418"/>
      <c r="G778" s="544">
        <f t="shared" si="112"/>
        <v>0</v>
      </c>
      <c r="H778" s="538">
        <f t="shared" si="113"/>
        <v>0</v>
      </c>
      <c r="I778" s="539">
        <f t="shared" si="114"/>
        <v>0</v>
      </c>
      <c r="J778" s="540"/>
      <c r="K778" s="403"/>
      <c r="L778" s="541">
        <f t="shared" si="115"/>
      </c>
      <c r="M778" s="542"/>
      <c r="N778" s="544">
        <v>0</v>
      </c>
      <c r="O778" s="542"/>
      <c r="P778" s="545">
        <f>BOKFØRT!C778</f>
        <v>0</v>
      </c>
      <c r="Q778" s="583">
        <f t="shared" si="116"/>
        <v>0</v>
      </c>
      <c r="R778" s="199"/>
      <c r="S778" s="199"/>
    </row>
    <row r="779" spans="1:19" s="1" customFormat="1" ht="12.75">
      <c r="A779" s="395">
        <v>543321</v>
      </c>
      <c r="B779" s="408" t="s">
        <v>333</v>
      </c>
      <c r="C779" s="397"/>
      <c r="D779" s="436"/>
      <c r="E779" s="436"/>
      <c r="F779" s="418"/>
      <c r="G779" s="544">
        <f t="shared" si="112"/>
        <v>0</v>
      </c>
      <c r="H779" s="538">
        <f t="shared" si="113"/>
        <v>0</v>
      </c>
      <c r="I779" s="539">
        <f t="shared" si="114"/>
        <v>0</v>
      </c>
      <c r="J779" s="540"/>
      <c r="K779" s="403"/>
      <c r="L779" s="541">
        <f t="shared" si="115"/>
      </c>
      <c r="M779" s="542"/>
      <c r="N779" s="544">
        <v>0</v>
      </c>
      <c r="O779" s="542"/>
      <c r="P779" s="545">
        <f>BOKFØRT!C779</f>
        <v>0</v>
      </c>
      <c r="Q779" s="583">
        <f t="shared" si="116"/>
        <v>0</v>
      </c>
      <c r="R779" s="199"/>
      <c r="S779" s="199"/>
    </row>
    <row r="780" spans="1:19" s="1" customFormat="1" ht="12.75">
      <c r="A780" s="395">
        <v>543322</v>
      </c>
      <c r="B780" s="408" t="s">
        <v>334</v>
      </c>
      <c r="C780" s="397"/>
      <c r="D780" s="436"/>
      <c r="E780" s="436"/>
      <c r="F780" s="418"/>
      <c r="G780" s="544">
        <f t="shared" si="112"/>
        <v>0</v>
      </c>
      <c r="H780" s="538">
        <f t="shared" si="113"/>
        <v>0</v>
      </c>
      <c r="I780" s="539">
        <f t="shared" si="114"/>
        <v>0</v>
      </c>
      <c r="J780" s="540"/>
      <c r="K780" s="403"/>
      <c r="L780" s="541">
        <f t="shared" si="115"/>
      </c>
      <c r="M780" s="542"/>
      <c r="N780" s="544">
        <v>0</v>
      </c>
      <c r="O780" s="542"/>
      <c r="P780" s="545">
        <f>BOKFØRT!C780</f>
        <v>0</v>
      </c>
      <c r="Q780" s="583">
        <f t="shared" si="116"/>
        <v>0</v>
      </c>
      <c r="R780" s="199"/>
      <c r="S780" s="199"/>
    </row>
    <row r="781" spans="1:19" s="1" customFormat="1" ht="12.75">
      <c r="A781" s="395">
        <v>543323</v>
      </c>
      <c r="B781" s="408" t="s">
        <v>335</v>
      </c>
      <c r="C781" s="397"/>
      <c r="D781" s="436"/>
      <c r="E781" s="436"/>
      <c r="F781" s="418"/>
      <c r="G781" s="544">
        <f t="shared" si="112"/>
        <v>0</v>
      </c>
      <c r="H781" s="538">
        <f t="shared" si="113"/>
        <v>0</v>
      </c>
      <c r="I781" s="539">
        <f t="shared" si="114"/>
        <v>0</v>
      </c>
      <c r="J781" s="540"/>
      <c r="K781" s="403"/>
      <c r="L781" s="541">
        <f t="shared" si="115"/>
      </c>
      <c r="M781" s="542"/>
      <c r="N781" s="544">
        <v>0</v>
      </c>
      <c r="O781" s="542"/>
      <c r="P781" s="545">
        <f>BOKFØRT!C781</f>
        <v>0</v>
      </c>
      <c r="Q781" s="583">
        <f t="shared" si="116"/>
        <v>0</v>
      </c>
      <c r="R781" s="199"/>
      <c r="S781" s="199"/>
    </row>
    <row r="782" spans="1:19" s="1" customFormat="1" ht="12.75">
      <c r="A782" s="395">
        <v>544095</v>
      </c>
      <c r="B782" s="408" t="s">
        <v>554</v>
      </c>
      <c r="C782" s="397"/>
      <c r="D782" s="440"/>
      <c r="E782" s="440"/>
      <c r="F782" s="449"/>
      <c r="G782" s="562">
        <f>SUM(I775:I781)</f>
        <v>0</v>
      </c>
      <c r="H782" s="414"/>
      <c r="I782" s="546" t="s">
        <v>555</v>
      </c>
      <c r="J782" s="546"/>
      <c r="K782" s="573"/>
      <c r="L782" s="541"/>
      <c r="M782" s="542"/>
      <c r="N782" s="562">
        <v>0</v>
      </c>
      <c r="O782" s="542"/>
      <c r="P782" s="545">
        <f>BOKFØRT!C782</f>
        <v>0</v>
      </c>
      <c r="Q782" s="583">
        <f t="shared" si="116"/>
        <v>0</v>
      </c>
      <c r="R782" s="199"/>
      <c r="S782" s="199"/>
    </row>
    <row r="783" spans="1:19" s="1" customFormat="1" ht="12.75">
      <c r="A783" s="395">
        <v>548301</v>
      </c>
      <c r="B783" s="408" t="s">
        <v>336</v>
      </c>
      <c r="C783" s="397"/>
      <c r="D783" s="436"/>
      <c r="E783" s="436"/>
      <c r="F783" s="418"/>
      <c r="G783" s="544">
        <f aca="true" t="shared" si="117" ref="G783:G795">IF(X=0,(IF(Me=0,Sa,Me*Sa)),(IF(Me=0,Sa*X,Me*X*Sa)))</f>
        <v>0</v>
      </c>
      <c r="H783" s="414"/>
      <c r="I783" s="540"/>
      <c r="J783" s="540"/>
      <c r="K783" s="403"/>
      <c r="L783" s="541">
        <f t="shared" si="115"/>
      </c>
      <c r="M783" s="542"/>
      <c r="N783" s="544">
        <v>0</v>
      </c>
      <c r="O783" s="542"/>
      <c r="P783" s="545">
        <f>BOKFØRT!C783</f>
        <v>0</v>
      </c>
      <c r="Q783" s="583">
        <f t="shared" si="116"/>
        <v>0</v>
      </c>
      <c r="R783" s="199"/>
      <c r="S783" s="199"/>
    </row>
    <row r="784" spans="1:19" s="1" customFormat="1" ht="12.75">
      <c r="A784" s="395">
        <v>548320</v>
      </c>
      <c r="B784" s="437" t="s">
        <v>337</v>
      </c>
      <c r="C784" s="397"/>
      <c r="D784" s="436"/>
      <c r="E784" s="436"/>
      <c r="F784" s="418"/>
      <c r="G784" s="544">
        <f t="shared" si="117"/>
        <v>0</v>
      </c>
      <c r="H784" s="414"/>
      <c r="I784" s="540"/>
      <c r="J784" s="540"/>
      <c r="K784" s="403"/>
      <c r="L784" s="541">
        <f t="shared" si="115"/>
      </c>
      <c r="M784" s="542"/>
      <c r="N784" s="544">
        <v>0</v>
      </c>
      <c r="O784" s="542"/>
      <c r="P784" s="545">
        <f>BOKFØRT!C784</f>
        <v>0</v>
      </c>
      <c r="Q784" s="583">
        <f t="shared" si="116"/>
        <v>0</v>
      </c>
      <c r="R784" s="199"/>
      <c r="S784" s="199"/>
    </row>
    <row r="785" spans="1:19" s="1" customFormat="1" ht="12.75">
      <c r="A785" s="395">
        <v>548321</v>
      </c>
      <c r="B785" s="408" t="s">
        <v>338</v>
      </c>
      <c r="C785" s="397"/>
      <c r="D785" s="436"/>
      <c r="E785" s="436"/>
      <c r="F785" s="418"/>
      <c r="G785" s="544">
        <f t="shared" si="117"/>
        <v>0</v>
      </c>
      <c r="H785" s="414"/>
      <c r="I785" s="540"/>
      <c r="J785" s="540"/>
      <c r="K785" s="403"/>
      <c r="L785" s="541">
        <f t="shared" si="115"/>
      </c>
      <c r="M785" s="542"/>
      <c r="N785" s="544">
        <v>0</v>
      </c>
      <c r="O785" s="542"/>
      <c r="P785" s="545">
        <f>BOKFØRT!C785</f>
        <v>0</v>
      </c>
      <c r="Q785" s="583">
        <f t="shared" si="116"/>
        <v>0</v>
      </c>
      <c r="R785" s="199"/>
      <c r="S785" s="199"/>
    </row>
    <row r="786" spans="1:19" s="1" customFormat="1" ht="12.75">
      <c r="A786" s="395">
        <v>548322</v>
      </c>
      <c r="B786" s="408" t="s">
        <v>339</v>
      </c>
      <c r="C786" s="397"/>
      <c r="D786" s="436"/>
      <c r="E786" s="436"/>
      <c r="F786" s="418"/>
      <c r="G786" s="544">
        <f t="shared" si="117"/>
        <v>0</v>
      </c>
      <c r="H786" s="414"/>
      <c r="I786" s="540"/>
      <c r="J786" s="540"/>
      <c r="K786" s="403"/>
      <c r="L786" s="541">
        <f t="shared" si="115"/>
      </c>
      <c r="M786" s="542"/>
      <c r="N786" s="544">
        <v>0</v>
      </c>
      <c r="O786" s="542"/>
      <c r="P786" s="545">
        <f>BOKFØRT!C786</f>
        <v>0</v>
      </c>
      <c r="Q786" s="583">
        <f t="shared" si="116"/>
        <v>0</v>
      </c>
      <c r="R786" s="199"/>
      <c r="S786" s="199"/>
    </row>
    <row r="787" spans="1:19" s="1" customFormat="1" ht="12.75">
      <c r="A787" s="395">
        <v>548330</v>
      </c>
      <c r="B787" s="408" t="s">
        <v>340</v>
      </c>
      <c r="C787" s="397"/>
      <c r="D787" s="436"/>
      <c r="E787" s="436"/>
      <c r="F787" s="418"/>
      <c r="G787" s="544">
        <f t="shared" si="117"/>
        <v>0</v>
      </c>
      <c r="H787" s="414"/>
      <c r="I787" s="540"/>
      <c r="J787" s="540"/>
      <c r="K787" s="403"/>
      <c r="L787" s="541">
        <f t="shared" si="115"/>
      </c>
      <c r="M787" s="542"/>
      <c r="N787" s="544">
        <v>0</v>
      </c>
      <c r="O787" s="542"/>
      <c r="P787" s="545">
        <f>BOKFØRT!C787</f>
        <v>0</v>
      </c>
      <c r="Q787" s="583">
        <f t="shared" si="116"/>
        <v>0</v>
      </c>
      <c r="R787" s="199"/>
      <c r="S787" s="199"/>
    </row>
    <row r="788" spans="1:19" s="1" customFormat="1" ht="12.75">
      <c r="A788" s="395">
        <v>548350</v>
      </c>
      <c r="B788" s="408" t="s">
        <v>341</v>
      </c>
      <c r="C788" s="397"/>
      <c r="D788" s="436"/>
      <c r="E788" s="436"/>
      <c r="F788" s="418"/>
      <c r="G788" s="544">
        <f t="shared" si="117"/>
        <v>0</v>
      </c>
      <c r="H788" s="414"/>
      <c r="I788" s="540"/>
      <c r="J788" s="540"/>
      <c r="K788" s="403"/>
      <c r="L788" s="541">
        <f t="shared" si="115"/>
      </c>
      <c r="M788" s="542"/>
      <c r="N788" s="544">
        <v>0</v>
      </c>
      <c r="O788" s="542"/>
      <c r="P788" s="545">
        <f>BOKFØRT!C788</f>
        <v>0</v>
      </c>
      <c r="Q788" s="583">
        <f t="shared" si="116"/>
        <v>0</v>
      </c>
      <c r="R788" s="199"/>
      <c r="S788" s="199"/>
    </row>
    <row r="789" spans="1:19" s="1" customFormat="1" ht="12.75">
      <c r="A789" s="395">
        <v>548351</v>
      </c>
      <c r="B789" s="408" t="s">
        <v>780</v>
      </c>
      <c r="C789" s="397"/>
      <c r="D789" s="436"/>
      <c r="E789" s="436"/>
      <c r="F789" s="418"/>
      <c r="G789" s="544">
        <f t="shared" si="117"/>
        <v>0</v>
      </c>
      <c r="H789" s="414"/>
      <c r="I789" s="540"/>
      <c r="J789" s="540"/>
      <c r="K789" s="403"/>
      <c r="L789" s="541">
        <f t="shared" si="115"/>
      </c>
      <c r="M789" s="542"/>
      <c r="N789" s="544">
        <v>0</v>
      </c>
      <c r="O789" s="542"/>
      <c r="P789" s="545">
        <f>BOKFØRT!C789</f>
        <v>0</v>
      </c>
      <c r="Q789" s="583">
        <f t="shared" si="116"/>
        <v>0</v>
      </c>
      <c r="R789" s="199"/>
      <c r="S789" s="199"/>
    </row>
    <row r="790" spans="1:19" s="1" customFormat="1" ht="12.75">
      <c r="A790" s="395">
        <v>548380</v>
      </c>
      <c r="B790" s="408" t="s">
        <v>342</v>
      </c>
      <c r="C790" s="397"/>
      <c r="D790" s="436"/>
      <c r="E790" s="436"/>
      <c r="F790" s="418"/>
      <c r="G790" s="544">
        <f t="shared" si="117"/>
        <v>0</v>
      </c>
      <c r="H790" s="414"/>
      <c r="I790" s="540"/>
      <c r="J790" s="540"/>
      <c r="K790" s="403"/>
      <c r="L790" s="541">
        <f t="shared" si="115"/>
      </c>
      <c r="M790" s="542"/>
      <c r="N790" s="544">
        <v>0</v>
      </c>
      <c r="O790" s="542"/>
      <c r="P790" s="545">
        <f>BOKFØRT!C790</f>
        <v>0</v>
      </c>
      <c r="Q790" s="583">
        <f t="shared" si="116"/>
        <v>0</v>
      </c>
      <c r="R790" s="199"/>
      <c r="S790" s="199"/>
    </row>
    <row r="791" spans="1:19" s="1" customFormat="1" ht="12.75">
      <c r="A791" s="395">
        <v>548390</v>
      </c>
      <c r="B791" s="408" t="s">
        <v>343</v>
      </c>
      <c r="C791" s="397"/>
      <c r="D791" s="436"/>
      <c r="E791" s="436"/>
      <c r="F791" s="418"/>
      <c r="G791" s="544">
        <f t="shared" si="117"/>
        <v>0</v>
      </c>
      <c r="H791" s="414"/>
      <c r="I791" s="540"/>
      <c r="J791" s="540"/>
      <c r="K791" s="403"/>
      <c r="L791" s="541">
        <f t="shared" si="115"/>
      </c>
      <c r="M791" s="542"/>
      <c r="N791" s="544">
        <v>0</v>
      </c>
      <c r="O791" s="542"/>
      <c r="P791" s="545">
        <f>BOKFØRT!C791</f>
        <v>0</v>
      </c>
      <c r="Q791" s="583">
        <f t="shared" si="116"/>
        <v>0</v>
      </c>
      <c r="R791" s="199"/>
      <c r="S791" s="199"/>
    </row>
    <row r="792" spans="1:19" s="1" customFormat="1" ht="12.75">
      <c r="A792" s="395">
        <v>548391</v>
      </c>
      <c r="B792" s="408" t="s">
        <v>344</v>
      </c>
      <c r="C792" s="397"/>
      <c r="D792" s="436"/>
      <c r="E792" s="436"/>
      <c r="F792" s="418"/>
      <c r="G792" s="544">
        <f t="shared" si="117"/>
        <v>0</v>
      </c>
      <c r="H792" s="414"/>
      <c r="I792" s="540"/>
      <c r="J792" s="540"/>
      <c r="K792" s="403"/>
      <c r="L792" s="541">
        <f t="shared" si="115"/>
      </c>
      <c r="M792" s="542"/>
      <c r="N792" s="544">
        <v>0</v>
      </c>
      <c r="O792" s="542"/>
      <c r="P792" s="545">
        <f>BOKFØRT!C792</f>
        <v>0</v>
      </c>
      <c r="Q792" s="583">
        <f t="shared" si="116"/>
        <v>0</v>
      </c>
      <c r="R792" s="199"/>
      <c r="S792" s="199"/>
    </row>
    <row r="793" spans="1:19" s="1" customFormat="1" ht="12.75">
      <c r="A793" s="395">
        <v>548392</v>
      </c>
      <c r="B793" s="408" t="s">
        <v>345</v>
      </c>
      <c r="C793" s="397"/>
      <c r="D793" s="436"/>
      <c r="E793" s="436"/>
      <c r="F793" s="418"/>
      <c r="G793" s="544">
        <f t="shared" si="117"/>
        <v>0</v>
      </c>
      <c r="H793" s="458"/>
      <c r="I793" s="540"/>
      <c r="J793" s="540"/>
      <c r="K793" s="403"/>
      <c r="L793" s="541">
        <f t="shared" si="115"/>
      </c>
      <c r="M793" s="542"/>
      <c r="N793" s="544">
        <v>0</v>
      </c>
      <c r="O793" s="542"/>
      <c r="P793" s="545">
        <f>BOKFØRT!C793</f>
        <v>0</v>
      </c>
      <c r="Q793" s="583">
        <f t="shared" si="116"/>
        <v>0</v>
      </c>
      <c r="R793" s="199"/>
      <c r="S793" s="199"/>
    </row>
    <row r="794" spans="1:19" s="1" customFormat="1" ht="12.75">
      <c r="A794" s="395">
        <v>549027</v>
      </c>
      <c r="B794" s="408" t="s">
        <v>15</v>
      </c>
      <c r="C794" s="397"/>
      <c r="D794" s="436"/>
      <c r="E794" s="436"/>
      <c r="F794" s="418"/>
      <c r="G794" s="544">
        <f t="shared" si="117"/>
        <v>0</v>
      </c>
      <c r="H794" s="414"/>
      <c r="I794" s="540"/>
      <c r="J794" s="540"/>
      <c r="K794" s="403"/>
      <c r="L794" s="541">
        <f t="shared" si="115"/>
      </c>
      <c r="M794" s="542"/>
      <c r="N794" s="544">
        <v>0</v>
      </c>
      <c r="O794" s="542"/>
      <c r="P794" s="545">
        <f>BOKFØRT!C794</f>
        <v>0</v>
      </c>
      <c r="Q794" s="583">
        <f t="shared" si="116"/>
        <v>0</v>
      </c>
      <c r="R794" s="199"/>
      <c r="S794" s="199"/>
    </row>
    <row r="795" spans="1:19" s="1" customFormat="1" ht="12.75">
      <c r="A795" s="395">
        <v>549069</v>
      </c>
      <c r="B795" s="420" t="s">
        <v>564</v>
      </c>
      <c r="C795" s="421" t="s">
        <v>416</v>
      </c>
      <c r="D795" s="422"/>
      <c r="E795" s="422"/>
      <c r="F795" s="423"/>
      <c r="G795" s="548">
        <f t="shared" si="117"/>
        <v>0</v>
      </c>
      <c r="H795" s="414"/>
      <c r="I795" s="540"/>
      <c r="J795" s="540"/>
      <c r="K795" s="403"/>
      <c r="L795" s="541">
        <f t="shared" si="115"/>
      </c>
      <c r="M795" s="542"/>
      <c r="N795" s="548">
        <v>0</v>
      </c>
      <c r="O795" s="542"/>
      <c r="P795" s="550">
        <f>BOKFØRT!C795</f>
        <v>0</v>
      </c>
      <c r="Q795" s="583">
        <f t="shared" si="116"/>
        <v>0</v>
      </c>
      <c r="R795" s="199"/>
      <c r="S795" s="199"/>
    </row>
    <row r="796" spans="1:19" s="1" customFormat="1" ht="13.5" thickBot="1">
      <c r="A796" s="445" t="s">
        <v>401</v>
      </c>
      <c r="B796" s="426"/>
      <c r="C796" s="451"/>
      <c r="D796" s="433"/>
      <c r="E796" s="434"/>
      <c r="F796" s="448" t="s">
        <v>570</v>
      </c>
      <c r="G796" s="558">
        <f>SUM(G775:G795)</f>
        <v>0</v>
      </c>
      <c r="H796" s="414"/>
      <c r="I796" s="555"/>
      <c r="J796" s="555"/>
      <c r="K796" s="394"/>
      <c r="L796" s="558">
        <f>SUM(L775:L795)</f>
        <v>0</v>
      </c>
      <c r="M796" s="542"/>
      <c r="N796" s="558">
        <v>0</v>
      </c>
      <c r="O796" s="542"/>
      <c r="P796" s="559">
        <f>SUM(P775:P795)</f>
        <v>0</v>
      </c>
      <c r="Q796" s="583">
        <f t="shared" si="116"/>
        <v>0</v>
      </c>
      <c r="R796" s="199"/>
      <c r="S796" s="199"/>
    </row>
    <row r="797" spans="1:19" s="1" customFormat="1" ht="0.75" customHeight="1" thickTop="1">
      <c r="A797" s="431"/>
      <c r="B797" s="432"/>
      <c r="C797" s="427"/>
      <c r="D797" s="450"/>
      <c r="E797" s="459"/>
      <c r="F797" s="450"/>
      <c r="G797" s="555"/>
      <c r="H797" s="458"/>
      <c r="I797" s="555"/>
      <c r="J797" s="555"/>
      <c r="K797" s="394"/>
      <c r="L797" s="555"/>
      <c r="M797" s="542"/>
      <c r="N797" s="555"/>
      <c r="O797" s="542"/>
      <c r="P797" s="565"/>
      <c r="Q797" s="583"/>
      <c r="R797" s="199"/>
      <c r="S797" s="199"/>
    </row>
    <row r="798" spans="1:19" s="1" customFormat="1" ht="24.75" customHeight="1" thickTop="1">
      <c r="A798" s="391" t="s">
        <v>535</v>
      </c>
      <c r="B798" s="456"/>
      <c r="C798" s="427"/>
      <c r="D798" s="511" t="s">
        <v>422</v>
      </c>
      <c r="E798" s="512" t="s">
        <v>423</v>
      </c>
      <c r="F798" s="511" t="s">
        <v>424</v>
      </c>
      <c r="G798" s="533" t="s">
        <v>425</v>
      </c>
      <c r="H798" s="511" t="s">
        <v>426</v>
      </c>
      <c r="I798" s="534" t="s">
        <v>427</v>
      </c>
      <c r="J798" s="534"/>
      <c r="K798" s="394"/>
      <c r="L798" s="533" t="s">
        <v>688</v>
      </c>
      <c r="M798" s="536"/>
      <c r="N798" s="533" t="s">
        <v>425</v>
      </c>
      <c r="O798" s="536"/>
      <c r="P798" s="533" t="s">
        <v>677</v>
      </c>
      <c r="Q798" s="583"/>
      <c r="R798" s="199"/>
      <c r="S798" s="199"/>
    </row>
    <row r="799" spans="1:19" s="1" customFormat="1" ht="12.75">
      <c r="A799" s="395">
        <v>553410</v>
      </c>
      <c r="B799" s="441" t="s">
        <v>346</v>
      </c>
      <c r="C799" s="397"/>
      <c r="D799" s="436"/>
      <c r="E799" s="436"/>
      <c r="F799" s="418"/>
      <c r="G799" s="537">
        <f>IF(X=0,(IF(Me=0,Sa,Me*Sa)),(IF(Me=0,Sa*X,Me*X*Sa)))</f>
        <v>0</v>
      </c>
      <c r="H799" s="538">
        <f>IF(Sum,Sos,0)</f>
        <v>0</v>
      </c>
      <c r="I799" s="539">
        <f>IF(Prosent&lt;&gt;0,(Sum*Prosent)/100,0)</f>
        <v>0</v>
      </c>
      <c r="J799" s="540"/>
      <c r="K799" s="403"/>
      <c r="L799" s="541">
        <f aca="true" t="shared" si="118" ref="L799:L824">IF(FMVAE&lt;&gt;"",(Sum*mva)-Sum,"")</f>
      </c>
      <c r="M799" s="542"/>
      <c r="N799" s="537">
        <v>0</v>
      </c>
      <c r="O799" s="542"/>
      <c r="P799" s="543">
        <f>BOKFØRT!C799</f>
        <v>0</v>
      </c>
      <c r="Q799" s="583">
        <f aca="true" t="shared" si="119" ref="Q799:Q825">G799+N799+P799</f>
        <v>0</v>
      </c>
      <c r="R799" s="199"/>
      <c r="S799" s="199"/>
    </row>
    <row r="800" spans="1:19" s="1" customFormat="1" ht="12.75">
      <c r="A800" s="395">
        <v>553411</v>
      </c>
      <c r="B800" s="437" t="s">
        <v>347</v>
      </c>
      <c r="C800" s="397"/>
      <c r="D800" s="438"/>
      <c r="E800" s="436"/>
      <c r="F800" s="439">
        <f>IF(D800=0,0,+G799)</f>
        <v>0</v>
      </c>
      <c r="G800" s="544">
        <f>IF(X=0,(IF(Me=0,Sa,Me*Sa)),(IF(Me=0,Sa*X,Me*X*Sa)))</f>
        <v>0</v>
      </c>
      <c r="H800" s="538">
        <f>IF(Sum,Sos,0)</f>
        <v>0</v>
      </c>
      <c r="I800" s="539">
        <f>IF(Prosent&lt;&gt;0,(Sum*Prosent)/100,0)</f>
        <v>0</v>
      </c>
      <c r="J800" s="540"/>
      <c r="K800" s="403"/>
      <c r="L800" s="541">
        <f t="shared" si="118"/>
      </c>
      <c r="M800" s="542"/>
      <c r="N800" s="544">
        <v>0</v>
      </c>
      <c r="O800" s="542"/>
      <c r="P800" s="545">
        <f>BOKFØRT!C800</f>
        <v>0</v>
      </c>
      <c r="Q800" s="583">
        <f t="shared" si="119"/>
        <v>0</v>
      </c>
      <c r="R800" s="199"/>
      <c r="S800" s="199"/>
    </row>
    <row r="801" spans="1:19" s="1" customFormat="1" ht="12.75">
      <c r="A801" s="395">
        <v>553420</v>
      </c>
      <c r="B801" s="408" t="s">
        <v>348</v>
      </c>
      <c r="C801" s="397"/>
      <c r="D801" s="436"/>
      <c r="E801" s="436"/>
      <c r="F801" s="418"/>
      <c r="G801" s="544">
        <f>IF(X=0,(IF(Me=0,Sa,Me*Sa)),(IF(Me=0,Sa*X,Me*X*Sa)))</f>
        <v>0</v>
      </c>
      <c r="H801" s="538">
        <f>IF(Sum,Sos,0)</f>
        <v>0</v>
      </c>
      <c r="I801" s="539">
        <f>IF(Prosent&lt;&gt;0,(Sum*Prosent)/100,0)</f>
        <v>0</v>
      </c>
      <c r="J801" s="540"/>
      <c r="K801" s="403"/>
      <c r="L801" s="541">
        <f t="shared" si="118"/>
      </c>
      <c r="M801" s="542"/>
      <c r="N801" s="544">
        <v>0</v>
      </c>
      <c r="O801" s="542"/>
      <c r="P801" s="545">
        <f>BOKFØRT!C801</f>
        <v>0</v>
      </c>
      <c r="Q801" s="583">
        <f t="shared" si="119"/>
        <v>0</v>
      </c>
      <c r="R801" s="199"/>
      <c r="S801" s="199"/>
    </row>
    <row r="802" spans="1:19" s="1" customFormat="1" ht="12.75">
      <c r="A802" s="395">
        <v>553421</v>
      </c>
      <c r="B802" s="437" t="s">
        <v>349</v>
      </c>
      <c r="C802" s="397"/>
      <c r="D802" s="438"/>
      <c r="E802" s="436"/>
      <c r="F802" s="439">
        <f>IF(D802=0,0,+G801)</f>
        <v>0</v>
      </c>
      <c r="G802" s="544">
        <f>IF(X=0,(IF(Me=0,Sa,Me*Sa)),(IF(Me=0,Sa*X,Me*X*Sa)))</f>
        <v>0</v>
      </c>
      <c r="H802" s="538">
        <f>IF(Sum,Sos,0)</f>
        <v>0</v>
      </c>
      <c r="I802" s="539">
        <f>IF(Prosent&lt;&gt;0,(Sum*Prosent)/100,0)</f>
        <v>0</v>
      </c>
      <c r="J802" s="540"/>
      <c r="K802" s="403"/>
      <c r="L802" s="541">
        <f t="shared" si="118"/>
      </c>
      <c r="M802" s="542"/>
      <c r="N802" s="544">
        <v>0</v>
      </c>
      <c r="O802" s="542"/>
      <c r="P802" s="545">
        <f>BOKFØRT!C802</f>
        <v>0</v>
      </c>
      <c r="Q802" s="583">
        <f t="shared" si="119"/>
        <v>0</v>
      </c>
      <c r="R802" s="199"/>
      <c r="S802" s="199"/>
    </row>
    <row r="803" spans="1:19" s="1" customFormat="1" ht="12.75">
      <c r="A803" s="395">
        <v>554092</v>
      </c>
      <c r="B803" s="408" t="s">
        <v>590</v>
      </c>
      <c r="C803" s="397"/>
      <c r="D803" s="436"/>
      <c r="E803" s="436"/>
      <c r="F803" s="418"/>
      <c r="G803" s="544">
        <f>IF(X=0,(IF(Me=0,Sa,Me*Sa)),(IF(Me=0,Sa*X,Me*X*Sa)))</f>
        <v>0</v>
      </c>
      <c r="H803" s="538">
        <f>IF(Sum,Sos,0)</f>
        <v>0</v>
      </c>
      <c r="I803" s="539">
        <f>IF(Prosent&lt;&gt;0,(Sum*Prosent)/100,0)</f>
        <v>0</v>
      </c>
      <c r="J803" s="540"/>
      <c r="K803" s="403"/>
      <c r="L803" s="541">
        <f t="shared" si="118"/>
      </c>
      <c r="M803" s="542"/>
      <c r="N803" s="544">
        <v>0</v>
      </c>
      <c r="O803" s="542"/>
      <c r="P803" s="545">
        <f>BOKFØRT!C803</f>
        <v>0</v>
      </c>
      <c r="Q803" s="583">
        <f t="shared" si="119"/>
        <v>0</v>
      </c>
      <c r="R803" s="199"/>
      <c r="S803" s="199"/>
    </row>
    <row r="804" spans="1:19" s="1" customFormat="1" ht="12.75">
      <c r="A804" s="395">
        <v>554095</v>
      </c>
      <c r="B804" s="408" t="s">
        <v>554</v>
      </c>
      <c r="C804" s="397"/>
      <c r="D804" s="440"/>
      <c r="E804" s="440"/>
      <c r="F804" s="413"/>
      <c r="G804" s="562">
        <f>SUM(I799:I803)</f>
        <v>0</v>
      </c>
      <c r="H804" s="414"/>
      <c r="I804" s="546" t="s">
        <v>555</v>
      </c>
      <c r="J804" s="546"/>
      <c r="K804" s="573"/>
      <c r="L804" s="541"/>
      <c r="M804" s="542"/>
      <c r="N804" s="562">
        <v>0</v>
      </c>
      <c r="O804" s="542"/>
      <c r="P804" s="545">
        <f>BOKFØRT!C804</f>
        <v>0</v>
      </c>
      <c r="Q804" s="583">
        <f t="shared" si="119"/>
        <v>0</v>
      </c>
      <c r="R804" s="199"/>
      <c r="S804" s="199"/>
    </row>
    <row r="805" spans="1:19" s="1" customFormat="1" ht="12.75">
      <c r="A805" s="395">
        <v>558401</v>
      </c>
      <c r="B805" s="408" t="s">
        <v>351</v>
      </c>
      <c r="C805" s="397"/>
      <c r="D805" s="436"/>
      <c r="E805" s="436"/>
      <c r="F805" s="418"/>
      <c r="G805" s="544">
        <f>IF(X=0,(IF(Me=0,Sa,Me*Sa)),(IF(Me=0,Sa*X,Me*X*Sa)))</f>
        <v>0</v>
      </c>
      <c r="H805" s="414"/>
      <c r="I805" s="540"/>
      <c r="J805" s="540"/>
      <c r="K805" s="403"/>
      <c r="L805" s="541">
        <f t="shared" si="118"/>
      </c>
      <c r="M805" s="542"/>
      <c r="N805" s="544">
        <v>0</v>
      </c>
      <c r="O805" s="542"/>
      <c r="P805" s="545">
        <f>BOKFØRT!C805</f>
        <v>0</v>
      </c>
      <c r="Q805" s="583">
        <f t="shared" si="119"/>
        <v>0</v>
      </c>
      <c r="R805" s="199"/>
      <c r="S805" s="199"/>
    </row>
    <row r="806" spans="1:19" s="1" customFormat="1" ht="12.75">
      <c r="A806" s="395">
        <v>558420</v>
      </c>
      <c r="B806" s="408" t="s">
        <v>350</v>
      </c>
      <c r="C806" s="397"/>
      <c r="D806" s="436"/>
      <c r="E806" s="436"/>
      <c r="F806" s="418"/>
      <c r="G806" s="544">
        <f aca="true" t="shared" si="120" ref="G806:G824">IF(X=0,(IF(Me=0,Sa,Me*Sa)),(IF(Me=0,Sa*X,Me*X*Sa)))</f>
        <v>0</v>
      </c>
      <c r="H806" s="414"/>
      <c r="I806" s="540"/>
      <c r="J806" s="540"/>
      <c r="K806" s="403"/>
      <c r="L806" s="541">
        <f t="shared" si="118"/>
      </c>
      <c r="M806" s="542"/>
      <c r="N806" s="544">
        <v>0</v>
      </c>
      <c r="O806" s="542"/>
      <c r="P806" s="545">
        <f>BOKFØRT!C806</f>
        <v>0</v>
      </c>
      <c r="Q806" s="583">
        <f t="shared" si="119"/>
        <v>0</v>
      </c>
      <c r="R806" s="199"/>
      <c r="S806" s="199"/>
    </row>
    <row r="807" spans="1:19" s="1" customFormat="1" ht="12.75">
      <c r="A807" s="395">
        <v>558421</v>
      </c>
      <c r="B807" s="408" t="s">
        <v>352</v>
      </c>
      <c r="C807" s="397"/>
      <c r="D807" s="436"/>
      <c r="E807" s="436"/>
      <c r="F807" s="418"/>
      <c r="G807" s="544">
        <f t="shared" si="120"/>
        <v>0</v>
      </c>
      <c r="H807" s="414"/>
      <c r="I807" s="540"/>
      <c r="J807" s="540"/>
      <c r="K807" s="403"/>
      <c r="L807" s="541">
        <f t="shared" si="118"/>
      </c>
      <c r="M807" s="542"/>
      <c r="N807" s="544">
        <v>0</v>
      </c>
      <c r="O807" s="542"/>
      <c r="P807" s="545">
        <f>BOKFØRT!C807</f>
        <v>0</v>
      </c>
      <c r="Q807" s="583">
        <f t="shared" si="119"/>
        <v>0</v>
      </c>
      <c r="R807" s="199"/>
      <c r="S807" s="199"/>
    </row>
    <row r="808" spans="1:19" s="1" customFormat="1" ht="12.75">
      <c r="A808" s="395">
        <v>558422</v>
      </c>
      <c r="B808" s="408" t="s">
        <v>353</v>
      </c>
      <c r="C808" s="397"/>
      <c r="D808" s="436"/>
      <c r="E808" s="436"/>
      <c r="F808" s="418"/>
      <c r="G808" s="544">
        <f t="shared" si="120"/>
        <v>0</v>
      </c>
      <c r="H808" s="414"/>
      <c r="I808" s="540"/>
      <c r="J808" s="540"/>
      <c r="K808" s="403"/>
      <c r="L808" s="541">
        <f t="shared" si="118"/>
      </c>
      <c r="M808" s="542"/>
      <c r="N808" s="544">
        <v>0</v>
      </c>
      <c r="O808" s="542"/>
      <c r="P808" s="545">
        <f>BOKFØRT!C808</f>
        <v>0</v>
      </c>
      <c r="Q808" s="583">
        <f t="shared" si="119"/>
        <v>0</v>
      </c>
      <c r="R808" s="199"/>
      <c r="S808" s="199"/>
    </row>
    <row r="809" spans="1:19" s="1" customFormat="1" ht="12.75">
      <c r="A809" s="395">
        <v>558430</v>
      </c>
      <c r="B809" s="408" t="s">
        <v>354</v>
      </c>
      <c r="C809" s="397"/>
      <c r="D809" s="436"/>
      <c r="E809" s="436"/>
      <c r="F809" s="418"/>
      <c r="G809" s="544">
        <f t="shared" si="120"/>
        <v>0</v>
      </c>
      <c r="H809" s="414"/>
      <c r="I809" s="540"/>
      <c r="J809" s="540"/>
      <c r="K809" s="403"/>
      <c r="L809" s="541">
        <f t="shared" si="118"/>
      </c>
      <c r="M809" s="542"/>
      <c r="N809" s="544">
        <v>0</v>
      </c>
      <c r="O809" s="542"/>
      <c r="P809" s="545">
        <f>BOKFØRT!C809</f>
        <v>0</v>
      </c>
      <c r="Q809" s="583">
        <f t="shared" si="119"/>
        <v>0</v>
      </c>
      <c r="R809" s="199"/>
      <c r="S809" s="199"/>
    </row>
    <row r="810" spans="1:19" s="1" customFormat="1" ht="12.75">
      <c r="A810" s="395">
        <v>558571</v>
      </c>
      <c r="B810" s="408" t="s">
        <v>355</v>
      </c>
      <c r="C810" s="397"/>
      <c r="D810" s="436"/>
      <c r="E810" s="436"/>
      <c r="F810" s="418"/>
      <c r="G810" s="544">
        <f t="shared" si="120"/>
        <v>0</v>
      </c>
      <c r="H810" s="414"/>
      <c r="I810" s="540"/>
      <c r="J810" s="540"/>
      <c r="K810" s="403"/>
      <c r="L810" s="541">
        <f t="shared" si="118"/>
      </c>
      <c r="M810" s="542"/>
      <c r="N810" s="544">
        <v>0</v>
      </c>
      <c r="O810" s="542"/>
      <c r="P810" s="545">
        <f>BOKFØRT!C810</f>
        <v>0</v>
      </c>
      <c r="Q810" s="583">
        <f t="shared" si="119"/>
        <v>0</v>
      </c>
      <c r="R810" s="199"/>
      <c r="S810" s="199"/>
    </row>
    <row r="811" spans="1:19" s="1" customFormat="1" ht="12.75">
      <c r="A811" s="395">
        <v>558580</v>
      </c>
      <c r="B811" s="408" t="s">
        <v>356</v>
      </c>
      <c r="C811" s="397"/>
      <c r="D811" s="436"/>
      <c r="E811" s="436"/>
      <c r="F811" s="418"/>
      <c r="G811" s="544">
        <f t="shared" si="120"/>
        <v>0</v>
      </c>
      <c r="H811" s="414"/>
      <c r="I811" s="540"/>
      <c r="J811" s="540"/>
      <c r="K811" s="403"/>
      <c r="L811" s="541">
        <f t="shared" si="118"/>
      </c>
      <c r="M811" s="542"/>
      <c r="N811" s="544">
        <v>0</v>
      </c>
      <c r="O811" s="542"/>
      <c r="P811" s="545">
        <f>BOKFØRT!C811</f>
        <v>0</v>
      </c>
      <c r="Q811" s="583">
        <f t="shared" si="119"/>
        <v>0</v>
      </c>
      <c r="R811" s="199"/>
      <c r="S811" s="199"/>
    </row>
    <row r="812" spans="1:19" s="1" customFormat="1" ht="12.75">
      <c r="A812" s="395">
        <v>559010</v>
      </c>
      <c r="B812" s="408" t="s">
        <v>556</v>
      </c>
      <c r="C812" s="397"/>
      <c r="D812" s="436"/>
      <c r="E812" s="436"/>
      <c r="F812" s="418"/>
      <c r="G812" s="544">
        <f t="shared" si="120"/>
        <v>0</v>
      </c>
      <c r="H812" s="414"/>
      <c r="I812" s="555"/>
      <c r="J812" s="555"/>
      <c r="K812" s="403"/>
      <c r="L812" s="541">
        <f t="shared" si="118"/>
      </c>
      <c r="M812" s="542"/>
      <c r="N812" s="544">
        <v>0</v>
      </c>
      <c r="O812" s="542"/>
      <c r="P812" s="545">
        <f>BOKFØRT!C812</f>
        <v>0</v>
      </c>
      <c r="Q812" s="583">
        <f t="shared" si="119"/>
        <v>0</v>
      </c>
      <c r="R812" s="199"/>
      <c r="S812" s="199"/>
    </row>
    <row r="813" spans="1:19" s="1" customFormat="1" ht="12.75">
      <c r="A813" s="395">
        <v>559011</v>
      </c>
      <c r="B813" s="408" t="s">
        <v>11</v>
      </c>
      <c r="C813" s="397"/>
      <c r="D813" s="436"/>
      <c r="E813" s="436"/>
      <c r="F813" s="418"/>
      <c r="G813" s="544">
        <f t="shared" si="120"/>
        <v>0</v>
      </c>
      <c r="H813" s="458"/>
      <c r="I813" s="555"/>
      <c r="J813" s="555"/>
      <c r="K813" s="403"/>
      <c r="L813" s="541">
        <f t="shared" si="118"/>
      </c>
      <c r="M813" s="542"/>
      <c r="N813" s="544">
        <v>0</v>
      </c>
      <c r="O813" s="542"/>
      <c r="P813" s="545">
        <f>BOKFØRT!C813</f>
        <v>0</v>
      </c>
      <c r="Q813" s="583">
        <f t="shared" si="119"/>
        <v>0</v>
      </c>
      <c r="R813" s="199"/>
      <c r="S813" s="199"/>
    </row>
    <row r="814" spans="1:19" s="1" customFormat="1" ht="12.75">
      <c r="A814" s="395">
        <v>559013</v>
      </c>
      <c r="B814" s="408" t="s">
        <v>557</v>
      </c>
      <c r="C814" s="397"/>
      <c r="D814" s="436"/>
      <c r="E814" s="436"/>
      <c r="F814" s="418"/>
      <c r="G814" s="544">
        <f t="shared" si="120"/>
        <v>0</v>
      </c>
      <c r="H814" s="414"/>
      <c r="I814" s="555"/>
      <c r="J814" s="555"/>
      <c r="K814" s="403"/>
      <c r="L814" s="541">
        <f t="shared" si="118"/>
      </c>
      <c r="M814" s="542"/>
      <c r="N814" s="544">
        <v>0</v>
      </c>
      <c r="O814" s="542"/>
      <c r="P814" s="545">
        <f>BOKFØRT!C814</f>
        <v>0</v>
      </c>
      <c r="Q814" s="583">
        <f t="shared" si="119"/>
        <v>0</v>
      </c>
      <c r="R814" s="199"/>
      <c r="S814" s="199"/>
    </row>
    <row r="815" spans="1:19" s="1" customFormat="1" ht="12.75">
      <c r="A815" s="395">
        <v>559020</v>
      </c>
      <c r="B815" s="408" t="s">
        <v>13</v>
      </c>
      <c r="C815" s="397"/>
      <c r="D815" s="436"/>
      <c r="E815" s="436"/>
      <c r="F815" s="418"/>
      <c r="G815" s="544">
        <f t="shared" si="120"/>
        <v>0</v>
      </c>
      <c r="H815" s="414"/>
      <c r="I815" s="555"/>
      <c r="J815" s="555"/>
      <c r="K815" s="403"/>
      <c r="L815" s="541">
        <f t="shared" si="118"/>
      </c>
      <c r="M815" s="542"/>
      <c r="N815" s="544">
        <v>0</v>
      </c>
      <c r="O815" s="542"/>
      <c r="P815" s="545">
        <f>BOKFØRT!C815</f>
        <v>0</v>
      </c>
      <c r="Q815" s="583">
        <f t="shared" si="119"/>
        <v>0</v>
      </c>
      <c r="R815" s="199"/>
      <c r="S815" s="199"/>
    </row>
    <row r="816" spans="1:19" s="1" customFormat="1" ht="12.75">
      <c r="A816" s="395">
        <v>559021</v>
      </c>
      <c r="B816" s="408" t="s">
        <v>14</v>
      </c>
      <c r="C816" s="397"/>
      <c r="D816" s="436"/>
      <c r="E816" s="436"/>
      <c r="F816" s="418"/>
      <c r="G816" s="544">
        <f t="shared" si="120"/>
        <v>0</v>
      </c>
      <c r="H816" s="414"/>
      <c r="I816" s="555"/>
      <c r="J816" s="555"/>
      <c r="K816" s="403"/>
      <c r="L816" s="541">
        <f t="shared" si="118"/>
      </c>
      <c r="M816" s="542"/>
      <c r="N816" s="544">
        <v>0</v>
      </c>
      <c r="O816" s="542"/>
      <c r="P816" s="545">
        <f>BOKFØRT!C816</f>
        <v>0</v>
      </c>
      <c r="Q816" s="583">
        <f t="shared" si="119"/>
        <v>0</v>
      </c>
      <c r="R816" s="199"/>
      <c r="S816" s="199"/>
    </row>
    <row r="817" spans="1:19" s="1" customFormat="1" ht="12.75">
      <c r="A817" s="395">
        <v>559022</v>
      </c>
      <c r="B817" s="408" t="s">
        <v>558</v>
      </c>
      <c r="C817" s="397"/>
      <c r="D817" s="436"/>
      <c r="E817" s="436"/>
      <c r="F817" s="418"/>
      <c r="G817" s="544">
        <f t="shared" si="120"/>
        <v>0</v>
      </c>
      <c r="H817" s="414"/>
      <c r="I817" s="555"/>
      <c r="J817" s="555"/>
      <c r="K817" s="403"/>
      <c r="L817" s="541">
        <f t="shared" si="118"/>
      </c>
      <c r="M817" s="542"/>
      <c r="N817" s="544">
        <v>0</v>
      </c>
      <c r="O817" s="542"/>
      <c r="P817" s="545">
        <f>BOKFØRT!C817</f>
        <v>0</v>
      </c>
      <c r="Q817" s="583">
        <f t="shared" si="119"/>
        <v>0</v>
      </c>
      <c r="R817" s="199"/>
      <c r="S817" s="199"/>
    </row>
    <row r="818" spans="1:19" s="1" customFormat="1" ht="12.75">
      <c r="A818" s="395">
        <v>559023</v>
      </c>
      <c r="B818" s="408" t="s">
        <v>559</v>
      </c>
      <c r="C818" s="397"/>
      <c r="D818" s="436"/>
      <c r="E818" s="436"/>
      <c r="F818" s="418"/>
      <c r="G818" s="544">
        <f t="shared" si="120"/>
        <v>0</v>
      </c>
      <c r="H818" s="458"/>
      <c r="I818" s="555"/>
      <c r="J818" s="555"/>
      <c r="K818" s="403"/>
      <c r="L818" s="541">
        <f t="shared" si="118"/>
      </c>
      <c r="M818" s="542"/>
      <c r="N818" s="544">
        <v>0</v>
      </c>
      <c r="O818" s="542"/>
      <c r="P818" s="545">
        <f>BOKFØRT!C818</f>
        <v>0</v>
      </c>
      <c r="Q818" s="583">
        <f t="shared" si="119"/>
        <v>0</v>
      </c>
      <c r="R818" s="199"/>
      <c r="S818" s="199"/>
    </row>
    <row r="819" spans="1:19" s="1" customFormat="1" ht="12.75">
      <c r="A819" s="395">
        <v>559024</v>
      </c>
      <c r="B819" s="408" t="s">
        <v>274</v>
      </c>
      <c r="C819" s="397"/>
      <c r="D819" s="436"/>
      <c r="E819" s="436"/>
      <c r="F819" s="418"/>
      <c r="G819" s="544">
        <f t="shared" si="120"/>
        <v>0</v>
      </c>
      <c r="H819" s="414"/>
      <c r="I819" s="555"/>
      <c r="J819" s="555"/>
      <c r="K819" s="403"/>
      <c r="L819" s="541">
        <f t="shared" si="118"/>
      </c>
      <c r="M819" s="542"/>
      <c r="N819" s="544">
        <v>0</v>
      </c>
      <c r="O819" s="542"/>
      <c r="P819" s="545">
        <f>BOKFØRT!C819</f>
        <v>0</v>
      </c>
      <c r="Q819" s="583">
        <f t="shared" si="119"/>
        <v>0</v>
      </c>
      <c r="R819" s="199"/>
      <c r="S819" s="199"/>
    </row>
    <row r="820" spans="1:19" s="1" customFormat="1" ht="12.75">
      <c r="A820" s="395">
        <v>559025</v>
      </c>
      <c r="B820" s="408" t="s">
        <v>560</v>
      </c>
      <c r="C820" s="397"/>
      <c r="D820" s="436"/>
      <c r="E820" s="436"/>
      <c r="F820" s="418"/>
      <c r="G820" s="544">
        <f t="shared" si="120"/>
        <v>0</v>
      </c>
      <c r="H820" s="458"/>
      <c r="I820" s="555"/>
      <c r="J820" s="555"/>
      <c r="K820" s="403"/>
      <c r="L820" s="541">
        <f t="shared" si="118"/>
      </c>
      <c r="M820" s="542"/>
      <c r="N820" s="544">
        <v>0</v>
      </c>
      <c r="O820" s="542"/>
      <c r="P820" s="545">
        <f>BOKFØRT!C820</f>
        <v>0</v>
      </c>
      <c r="Q820" s="583">
        <f t="shared" si="119"/>
        <v>0</v>
      </c>
      <c r="R820" s="199"/>
      <c r="S820" s="199"/>
    </row>
    <row r="821" spans="1:19" s="1" customFormat="1" ht="12.75">
      <c r="A821" s="395">
        <v>559026</v>
      </c>
      <c r="B821" s="408" t="s">
        <v>275</v>
      </c>
      <c r="C821" s="397"/>
      <c r="D821" s="436"/>
      <c r="E821" s="436"/>
      <c r="F821" s="418"/>
      <c r="G821" s="544">
        <f t="shared" si="120"/>
        <v>0</v>
      </c>
      <c r="H821" s="414"/>
      <c r="I821" s="555"/>
      <c r="J821" s="555"/>
      <c r="K821" s="403"/>
      <c r="L821" s="541">
        <f t="shared" si="118"/>
      </c>
      <c r="M821" s="542"/>
      <c r="N821" s="544">
        <v>0</v>
      </c>
      <c r="O821" s="542"/>
      <c r="P821" s="545">
        <f>BOKFØRT!C821</f>
        <v>0</v>
      </c>
      <c r="Q821" s="583">
        <f t="shared" si="119"/>
        <v>0</v>
      </c>
      <c r="R821" s="199"/>
      <c r="S821" s="199"/>
    </row>
    <row r="822" spans="1:19" s="1" customFormat="1" ht="12.75">
      <c r="A822" s="395">
        <v>559027</v>
      </c>
      <c r="B822" s="408" t="s">
        <v>15</v>
      </c>
      <c r="C822" s="397"/>
      <c r="D822" s="436"/>
      <c r="E822" s="436"/>
      <c r="F822" s="418"/>
      <c r="G822" s="544">
        <f t="shared" si="120"/>
        <v>0</v>
      </c>
      <c r="H822" s="414"/>
      <c r="I822" s="555"/>
      <c r="J822" s="555"/>
      <c r="K822" s="403"/>
      <c r="L822" s="541">
        <f t="shared" si="118"/>
      </c>
      <c r="M822" s="542"/>
      <c r="N822" s="544">
        <v>0</v>
      </c>
      <c r="O822" s="542"/>
      <c r="P822" s="545">
        <f>BOKFØRT!C822</f>
        <v>0</v>
      </c>
      <c r="Q822" s="583">
        <f t="shared" si="119"/>
        <v>0</v>
      </c>
      <c r="R822" s="199"/>
      <c r="S822" s="199"/>
    </row>
    <row r="823" spans="1:19" s="1" customFormat="1" ht="12.75">
      <c r="A823" s="395">
        <v>559029</v>
      </c>
      <c r="B823" s="408" t="s">
        <v>561</v>
      </c>
      <c r="C823" s="397"/>
      <c r="D823" s="436"/>
      <c r="E823" s="436"/>
      <c r="F823" s="418"/>
      <c r="G823" s="544">
        <f t="shared" si="120"/>
        <v>0</v>
      </c>
      <c r="H823" s="414"/>
      <c r="I823" s="555"/>
      <c r="J823" s="555"/>
      <c r="K823" s="403"/>
      <c r="L823" s="541">
        <f t="shared" si="118"/>
      </c>
      <c r="M823" s="542"/>
      <c r="N823" s="544">
        <v>0</v>
      </c>
      <c r="O823" s="542"/>
      <c r="P823" s="545">
        <f>BOKFØRT!C823</f>
        <v>0</v>
      </c>
      <c r="Q823" s="583">
        <f t="shared" si="119"/>
        <v>0</v>
      </c>
      <c r="R823" s="199"/>
      <c r="S823" s="199"/>
    </row>
    <row r="824" spans="1:19" s="1" customFormat="1" ht="12.75">
      <c r="A824" s="395">
        <v>559069</v>
      </c>
      <c r="B824" s="420" t="s">
        <v>564</v>
      </c>
      <c r="C824" s="421" t="s">
        <v>416</v>
      </c>
      <c r="D824" s="422"/>
      <c r="E824" s="422"/>
      <c r="F824" s="423"/>
      <c r="G824" s="548">
        <f t="shared" si="120"/>
        <v>0</v>
      </c>
      <c r="H824" s="414"/>
      <c r="I824" s="540"/>
      <c r="J824" s="540"/>
      <c r="K824" s="403"/>
      <c r="L824" s="541">
        <f t="shared" si="118"/>
      </c>
      <c r="M824" s="542"/>
      <c r="N824" s="548">
        <v>0</v>
      </c>
      <c r="O824" s="542"/>
      <c r="P824" s="550">
        <f>BOKFØRT!C824</f>
        <v>0</v>
      </c>
      <c r="Q824" s="583">
        <f t="shared" si="119"/>
        <v>0</v>
      </c>
      <c r="R824" s="199"/>
      <c r="S824" s="199"/>
    </row>
    <row r="825" spans="1:19" s="1" customFormat="1" ht="13.5" thickBot="1">
      <c r="A825" s="445" t="s">
        <v>401</v>
      </c>
      <c r="B825" s="426"/>
      <c r="C825" s="451"/>
      <c r="D825" s="433"/>
      <c r="E825" s="434"/>
      <c r="F825" s="448" t="s">
        <v>570</v>
      </c>
      <c r="G825" s="558">
        <f>SUM(G799:G824)</f>
        <v>0</v>
      </c>
      <c r="H825" s="414"/>
      <c r="I825" s="555"/>
      <c r="J825" s="555"/>
      <c r="K825" s="394"/>
      <c r="L825" s="558">
        <f>SUM(L799:L824)</f>
        <v>0</v>
      </c>
      <c r="M825" s="542"/>
      <c r="N825" s="558">
        <v>0</v>
      </c>
      <c r="O825" s="542"/>
      <c r="P825" s="559">
        <f>SUM(P799:P824)</f>
        <v>0</v>
      </c>
      <c r="Q825" s="583">
        <f t="shared" si="119"/>
        <v>0</v>
      </c>
      <c r="R825" s="199"/>
      <c r="S825" s="199"/>
    </row>
    <row r="826" spans="1:19" s="1" customFormat="1" ht="0.75" customHeight="1" thickTop="1">
      <c r="A826" s="431"/>
      <c r="B826" s="432"/>
      <c r="C826" s="427"/>
      <c r="D826" s="450"/>
      <c r="E826" s="459"/>
      <c r="F826" s="450"/>
      <c r="G826" s="555"/>
      <c r="H826" s="414"/>
      <c r="I826" s="555"/>
      <c r="J826" s="555"/>
      <c r="K826" s="394"/>
      <c r="L826" s="555"/>
      <c r="M826" s="542"/>
      <c r="N826" s="555"/>
      <c r="O826" s="542"/>
      <c r="P826" s="565"/>
      <c r="Q826" s="583"/>
      <c r="R826" s="199"/>
      <c r="S826" s="199"/>
    </row>
    <row r="827" spans="1:19" s="1" customFormat="1" ht="24.75" customHeight="1" thickTop="1">
      <c r="A827" s="391" t="s">
        <v>822</v>
      </c>
      <c r="B827" s="456"/>
      <c r="C827" s="427"/>
      <c r="D827" s="511" t="s">
        <v>422</v>
      </c>
      <c r="E827" s="512" t="s">
        <v>423</v>
      </c>
      <c r="F827" s="511" t="s">
        <v>424</v>
      </c>
      <c r="G827" s="533" t="s">
        <v>425</v>
      </c>
      <c r="H827" s="513"/>
      <c r="I827" s="534" t="s">
        <v>427</v>
      </c>
      <c r="J827" s="534"/>
      <c r="K827" s="394"/>
      <c r="L827" s="533" t="s">
        <v>688</v>
      </c>
      <c r="M827" s="536"/>
      <c r="N827" s="533" t="s">
        <v>425</v>
      </c>
      <c r="O827" s="536"/>
      <c r="P827" s="533" t="s">
        <v>677</v>
      </c>
      <c r="Q827" s="583"/>
      <c r="R827" s="199"/>
      <c r="S827" s="199"/>
    </row>
    <row r="828" spans="1:19" s="1" customFormat="1" ht="12.75">
      <c r="A828" s="395">
        <v>568501</v>
      </c>
      <c r="B828" s="408" t="s">
        <v>357</v>
      </c>
      <c r="C828" s="397"/>
      <c r="D828" s="436"/>
      <c r="E828" s="436"/>
      <c r="F828" s="418"/>
      <c r="G828" s="537">
        <f aca="true" t="shared" si="121" ref="G828:G868">IF(X=0,(IF(Me=0,Sa,Me*Sa)),(IF(Me=0,Sa*X,Me*X*Sa)))</f>
        <v>0</v>
      </c>
      <c r="H828" s="414"/>
      <c r="I828" s="555"/>
      <c r="J828" s="555"/>
      <c r="K828" s="403"/>
      <c r="L828" s="541">
        <f aca="true" t="shared" si="122" ref="L828:L870">IF(FMVAE&lt;&gt;"",(Sum*mva)-Sum,"")</f>
      </c>
      <c r="M828" s="542"/>
      <c r="N828" s="537">
        <v>0</v>
      </c>
      <c r="O828" s="542"/>
      <c r="P828" s="543">
        <f>BOKFØRT!C828</f>
        <v>0</v>
      </c>
      <c r="Q828" s="583">
        <f aca="true" t="shared" si="123" ref="Q828:Q871">G828+N828+P828</f>
        <v>0</v>
      </c>
      <c r="R828" s="199"/>
      <c r="S828" s="199"/>
    </row>
    <row r="829" spans="1:19" s="1" customFormat="1" ht="12.75">
      <c r="A829" s="395">
        <v>568510</v>
      </c>
      <c r="B829" s="408" t="s">
        <v>272</v>
      </c>
      <c r="C829" s="397"/>
      <c r="D829" s="436"/>
      <c r="E829" s="436"/>
      <c r="F829" s="418"/>
      <c r="G829" s="544">
        <f>IF(X=0,(IF(Me=0,Sa,Me*Sa)),(IF(Me=0,Sa*X,Me*X*Sa)))</f>
        <v>0</v>
      </c>
      <c r="H829" s="414"/>
      <c r="I829" s="540"/>
      <c r="J829" s="540"/>
      <c r="K829" s="403"/>
      <c r="L829" s="541">
        <f t="shared" si="122"/>
      </c>
      <c r="M829" s="542"/>
      <c r="N829" s="544">
        <v>0</v>
      </c>
      <c r="O829" s="542"/>
      <c r="P829" s="545">
        <f>BOKFØRT!C829</f>
        <v>0</v>
      </c>
      <c r="Q829" s="583">
        <f t="shared" si="123"/>
        <v>0</v>
      </c>
      <c r="R829" s="199"/>
      <c r="S829" s="199"/>
    </row>
    <row r="830" spans="1:19" s="1" customFormat="1" ht="12.75">
      <c r="A830" s="395">
        <v>568511</v>
      </c>
      <c r="B830" s="408" t="s">
        <v>181</v>
      </c>
      <c r="C830" s="397"/>
      <c r="D830" s="436"/>
      <c r="E830" s="436"/>
      <c r="F830" s="461"/>
      <c r="G830" s="544">
        <f>IF(X=0,(IF(Me=0,Sa,Me*Sa)),(IF(Me=0,Sa*X,Me*X*Sa)))</f>
        <v>0</v>
      </c>
      <c r="H830" s="414"/>
      <c r="I830" s="555"/>
      <c r="J830" s="555"/>
      <c r="K830" s="403"/>
      <c r="L830" s="541">
        <f t="shared" si="122"/>
      </c>
      <c r="M830" s="542"/>
      <c r="N830" s="544">
        <v>0</v>
      </c>
      <c r="O830" s="542"/>
      <c r="P830" s="545">
        <f>BOKFØRT!C830</f>
        <v>0</v>
      </c>
      <c r="Q830" s="583">
        <f t="shared" si="123"/>
        <v>0</v>
      </c>
      <c r="R830" s="199"/>
      <c r="S830" s="199"/>
    </row>
    <row r="831" spans="1:19" s="1" customFormat="1" ht="12.75">
      <c r="A831" s="395">
        <v>568514</v>
      </c>
      <c r="B831" s="408" t="s">
        <v>792</v>
      </c>
      <c r="C831" s="397"/>
      <c r="D831" s="436"/>
      <c r="E831" s="436"/>
      <c r="F831" s="461"/>
      <c r="G831" s="544">
        <f>IF(X=0,(IF(Me=0,Sa,Me*Sa)),(IF(Me=0,Sa*X,Me*X*Sa)))</f>
        <v>0</v>
      </c>
      <c r="H831" s="414"/>
      <c r="I831" s="540"/>
      <c r="J831" s="540"/>
      <c r="K831" s="403"/>
      <c r="L831" s="541">
        <f t="shared" si="122"/>
      </c>
      <c r="M831" s="542"/>
      <c r="N831" s="544">
        <v>0</v>
      </c>
      <c r="O831" s="542"/>
      <c r="P831" s="545">
        <f>BOKFØRT!C831</f>
        <v>0</v>
      </c>
      <c r="Q831" s="583">
        <f t="shared" si="123"/>
        <v>0</v>
      </c>
      <c r="R831" s="199"/>
      <c r="S831" s="199"/>
    </row>
    <row r="832" spans="1:19" s="1" customFormat="1" ht="12.75">
      <c r="A832" s="395">
        <v>568515</v>
      </c>
      <c r="B832" s="441" t="s">
        <v>784</v>
      </c>
      <c r="C832" s="397"/>
      <c r="D832" s="436"/>
      <c r="E832" s="436"/>
      <c r="F832" s="418"/>
      <c r="G832" s="544">
        <f>IF(X=0,(IF(Me=0,Sa,Me*Sa)),(IF(Me=0,Sa*X,Me*X*Sa)))</f>
        <v>0</v>
      </c>
      <c r="H832" s="414"/>
      <c r="I832" s="540"/>
      <c r="J832" s="540"/>
      <c r="K832" s="403"/>
      <c r="L832" s="541">
        <f t="shared" si="122"/>
      </c>
      <c r="M832" s="542"/>
      <c r="N832" s="544">
        <v>0</v>
      </c>
      <c r="O832" s="542"/>
      <c r="P832" s="545">
        <f>BOKFØRT!C832</f>
        <v>0</v>
      </c>
      <c r="Q832" s="583">
        <f t="shared" si="123"/>
        <v>0</v>
      </c>
      <c r="R832" s="199"/>
      <c r="S832" s="199"/>
    </row>
    <row r="833" spans="1:19" s="1" customFormat="1" ht="12.75">
      <c r="A833" s="395">
        <v>568516</v>
      </c>
      <c r="B833" s="408" t="s">
        <v>793</v>
      </c>
      <c r="C833" s="397"/>
      <c r="D833" s="436"/>
      <c r="E833" s="436"/>
      <c r="F833" s="418"/>
      <c r="G833" s="544">
        <f t="shared" si="121"/>
        <v>0</v>
      </c>
      <c r="H833" s="414"/>
      <c r="I833" s="555"/>
      <c r="J833" s="555"/>
      <c r="K833" s="403"/>
      <c r="L833" s="541">
        <f t="shared" si="122"/>
      </c>
      <c r="M833" s="542"/>
      <c r="N833" s="544">
        <v>0</v>
      </c>
      <c r="O833" s="542"/>
      <c r="P833" s="545">
        <f>BOKFØRT!C833</f>
        <v>0</v>
      </c>
      <c r="Q833" s="583">
        <f aca="true" t="shared" si="124" ref="Q833:Q847">G833+N833+P833</f>
        <v>0</v>
      </c>
      <c r="R833" s="199"/>
      <c r="S833" s="199"/>
    </row>
    <row r="834" spans="1:19" s="1" customFormat="1" ht="12.75">
      <c r="A834" s="395">
        <v>568520</v>
      </c>
      <c r="B834" s="441" t="s">
        <v>794</v>
      </c>
      <c r="C834" s="397"/>
      <c r="D834" s="436"/>
      <c r="E834" s="436"/>
      <c r="F834" s="461"/>
      <c r="G834" s="544">
        <f t="shared" si="121"/>
        <v>0</v>
      </c>
      <c r="H834" s="414"/>
      <c r="I834" s="555"/>
      <c r="J834" s="555"/>
      <c r="K834" s="403"/>
      <c r="L834" s="541">
        <f t="shared" si="122"/>
      </c>
      <c r="M834" s="542"/>
      <c r="N834" s="544">
        <v>0</v>
      </c>
      <c r="O834" s="542"/>
      <c r="P834" s="545">
        <f>BOKFØRT!C834</f>
        <v>0</v>
      </c>
      <c r="Q834" s="583">
        <f t="shared" si="124"/>
        <v>0</v>
      </c>
      <c r="R834" s="199"/>
      <c r="S834" s="199"/>
    </row>
    <row r="835" spans="1:19" s="1" customFormat="1" ht="12.75">
      <c r="A835" s="395">
        <v>568521</v>
      </c>
      <c r="B835" s="441" t="s">
        <v>795</v>
      </c>
      <c r="C835" s="397"/>
      <c r="D835" s="436"/>
      <c r="E835" s="436"/>
      <c r="F835" s="418"/>
      <c r="G835" s="544">
        <f t="shared" si="121"/>
        <v>0</v>
      </c>
      <c r="H835" s="414"/>
      <c r="I835" s="555"/>
      <c r="J835" s="555"/>
      <c r="K835" s="403"/>
      <c r="L835" s="541">
        <f t="shared" si="122"/>
      </c>
      <c r="M835" s="542"/>
      <c r="N835" s="544">
        <v>0</v>
      </c>
      <c r="O835" s="542"/>
      <c r="P835" s="545">
        <f>BOKFØRT!C835</f>
        <v>0</v>
      </c>
      <c r="Q835" s="583">
        <f t="shared" si="124"/>
        <v>0</v>
      </c>
      <c r="R835" s="199"/>
      <c r="S835" s="199"/>
    </row>
    <row r="836" spans="1:19" s="1" customFormat="1" ht="12.75">
      <c r="A836" s="395">
        <v>568522</v>
      </c>
      <c r="B836" s="408" t="s">
        <v>796</v>
      </c>
      <c r="C836" s="397"/>
      <c r="D836" s="436"/>
      <c r="E836" s="436"/>
      <c r="F836" s="418"/>
      <c r="G836" s="544">
        <f t="shared" si="121"/>
        <v>0</v>
      </c>
      <c r="H836" s="414"/>
      <c r="I836" s="555"/>
      <c r="J836" s="555"/>
      <c r="K836" s="403"/>
      <c r="L836" s="541">
        <f t="shared" si="122"/>
      </c>
      <c r="M836" s="542"/>
      <c r="N836" s="544">
        <v>0</v>
      </c>
      <c r="O836" s="542"/>
      <c r="P836" s="545">
        <f>BOKFØRT!C836</f>
        <v>0</v>
      </c>
      <c r="Q836" s="583">
        <f t="shared" si="124"/>
        <v>0</v>
      </c>
      <c r="R836" s="199"/>
      <c r="S836" s="199"/>
    </row>
    <row r="837" spans="1:19" s="1" customFormat="1" ht="12.75">
      <c r="A837" s="395">
        <v>568530</v>
      </c>
      <c r="B837" s="408" t="s">
        <v>797</v>
      </c>
      <c r="C837" s="397"/>
      <c r="D837" s="436"/>
      <c r="E837" s="436"/>
      <c r="F837" s="418"/>
      <c r="G837" s="544">
        <f t="shared" si="121"/>
        <v>0</v>
      </c>
      <c r="H837" s="414"/>
      <c r="I837" s="555"/>
      <c r="J837" s="555"/>
      <c r="K837" s="403"/>
      <c r="L837" s="541">
        <f t="shared" si="122"/>
      </c>
      <c r="M837" s="542"/>
      <c r="N837" s="544">
        <v>0</v>
      </c>
      <c r="O837" s="542"/>
      <c r="P837" s="545">
        <f>BOKFØRT!C837</f>
        <v>0</v>
      </c>
      <c r="Q837" s="583">
        <f t="shared" si="124"/>
        <v>0</v>
      </c>
      <c r="R837" s="199"/>
      <c r="S837" s="199"/>
    </row>
    <row r="838" spans="1:19" s="1" customFormat="1" ht="12.75">
      <c r="A838" s="395">
        <v>568532</v>
      </c>
      <c r="B838" s="408" t="s">
        <v>798</v>
      </c>
      <c r="C838" s="397"/>
      <c r="D838" s="436"/>
      <c r="E838" s="436"/>
      <c r="F838" s="418"/>
      <c r="G838" s="544">
        <f t="shared" si="121"/>
        <v>0</v>
      </c>
      <c r="H838" s="414"/>
      <c r="I838" s="555"/>
      <c r="J838" s="555"/>
      <c r="K838" s="403"/>
      <c r="L838" s="541">
        <f t="shared" si="122"/>
      </c>
      <c r="M838" s="542"/>
      <c r="N838" s="544">
        <v>0</v>
      </c>
      <c r="O838" s="542"/>
      <c r="P838" s="545">
        <f>BOKFØRT!C838</f>
        <v>0</v>
      </c>
      <c r="Q838" s="583">
        <f t="shared" si="124"/>
        <v>0</v>
      </c>
      <c r="R838" s="199"/>
      <c r="S838" s="199"/>
    </row>
    <row r="839" spans="1:19" s="1" customFormat="1" ht="12.75">
      <c r="A839" s="395">
        <v>568533</v>
      </c>
      <c r="B839" s="408" t="s">
        <v>799</v>
      </c>
      <c r="C839" s="397"/>
      <c r="D839" s="436"/>
      <c r="E839" s="436"/>
      <c r="F839" s="418"/>
      <c r="G839" s="544">
        <f t="shared" si="121"/>
        <v>0</v>
      </c>
      <c r="H839" s="414"/>
      <c r="I839" s="555"/>
      <c r="J839" s="555"/>
      <c r="K839" s="403"/>
      <c r="L839" s="541">
        <f t="shared" si="122"/>
      </c>
      <c r="M839" s="542"/>
      <c r="N839" s="544">
        <v>0</v>
      </c>
      <c r="O839" s="542"/>
      <c r="P839" s="545">
        <f>BOKFØRT!C839</f>
        <v>0</v>
      </c>
      <c r="Q839" s="583">
        <f t="shared" si="124"/>
        <v>0</v>
      </c>
      <c r="R839" s="199"/>
      <c r="S839" s="199"/>
    </row>
    <row r="840" spans="1:19" s="1" customFormat="1" ht="12.75">
      <c r="A840" s="395">
        <v>568536</v>
      </c>
      <c r="B840" s="408" t="s">
        <v>800</v>
      </c>
      <c r="C840" s="397"/>
      <c r="D840" s="436"/>
      <c r="E840" s="436"/>
      <c r="F840" s="418"/>
      <c r="G840" s="544">
        <f t="shared" si="121"/>
        <v>0</v>
      </c>
      <c r="H840" s="414"/>
      <c r="I840" s="555"/>
      <c r="J840" s="555"/>
      <c r="K840" s="403"/>
      <c r="L840" s="541">
        <f t="shared" si="122"/>
      </c>
      <c r="M840" s="542"/>
      <c r="N840" s="544">
        <v>0</v>
      </c>
      <c r="O840" s="542"/>
      <c r="P840" s="545">
        <f>BOKFØRT!C840</f>
        <v>0</v>
      </c>
      <c r="Q840" s="583">
        <f t="shared" si="124"/>
        <v>0</v>
      </c>
      <c r="R840" s="199"/>
      <c r="S840" s="199"/>
    </row>
    <row r="841" spans="1:19" s="1" customFormat="1" ht="12.75">
      <c r="A841" s="395">
        <v>568537</v>
      </c>
      <c r="B841" s="441" t="s">
        <v>801</v>
      </c>
      <c r="C841" s="397"/>
      <c r="D841" s="436"/>
      <c r="E841" s="436"/>
      <c r="F841" s="418"/>
      <c r="G841" s="544">
        <f t="shared" si="121"/>
        <v>0</v>
      </c>
      <c r="H841" s="414"/>
      <c r="I841" s="555"/>
      <c r="J841" s="555"/>
      <c r="K841" s="403"/>
      <c r="L841" s="541">
        <f t="shared" si="122"/>
      </c>
      <c r="M841" s="542"/>
      <c r="N841" s="544">
        <v>0</v>
      </c>
      <c r="O841" s="542"/>
      <c r="P841" s="545">
        <f>BOKFØRT!C841</f>
        <v>0</v>
      </c>
      <c r="Q841" s="583">
        <f t="shared" si="124"/>
        <v>0</v>
      </c>
      <c r="R841" s="199"/>
      <c r="S841" s="199"/>
    </row>
    <row r="842" spans="1:19" s="1" customFormat="1" ht="12.75">
      <c r="A842" s="395">
        <v>568539</v>
      </c>
      <c r="B842" s="441" t="s">
        <v>802</v>
      </c>
      <c r="C842" s="397"/>
      <c r="D842" s="436"/>
      <c r="E842" s="436"/>
      <c r="F842" s="418"/>
      <c r="G842" s="544">
        <f t="shared" si="121"/>
        <v>0</v>
      </c>
      <c r="H842" s="414"/>
      <c r="I842" s="555"/>
      <c r="J842" s="555"/>
      <c r="K842" s="403"/>
      <c r="L842" s="541">
        <f t="shared" si="122"/>
      </c>
      <c r="M842" s="542"/>
      <c r="N842" s="544">
        <v>0</v>
      </c>
      <c r="O842" s="542"/>
      <c r="P842" s="545">
        <f>BOKFØRT!C842</f>
        <v>0</v>
      </c>
      <c r="Q842" s="583">
        <f t="shared" si="124"/>
        <v>0</v>
      </c>
      <c r="R842" s="199"/>
      <c r="S842" s="199"/>
    </row>
    <row r="843" spans="1:19" s="1" customFormat="1" ht="12.75">
      <c r="A843" s="395">
        <v>568542</v>
      </c>
      <c r="B843" s="441" t="s">
        <v>803</v>
      </c>
      <c r="C843" s="397"/>
      <c r="D843" s="436"/>
      <c r="E843" s="436"/>
      <c r="F843" s="418"/>
      <c r="G843" s="544">
        <f t="shared" si="121"/>
        <v>0</v>
      </c>
      <c r="H843" s="414"/>
      <c r="I843" s="555"/>
      <c r="J843" s="555"/>
      <c r="K843" s="403"/>
      <c r="L843" s="541">
        <f t="shared" si="122"/>
      </c>
      <c r="M843" s="542"/>
      <c r="N843" s="544">
        <v>0</v>
      </c>
      <c r="O843" s="542"/>
      <c r="P843" s="545">
        <f>BOKFØRT!C843</f>
        <v>0</v>
      </c>
      <c r="Q843" s="583">
        <f t="shared" si="124"/>
        <v>0</v>
      </c>
      <c r="R843" s="199"/>
      <c r="S843" s="199"/>
    </row>
    <row r="844" spans="1:19" s="1" customFormat="1" ht="12.75">
      <c r="A844" s="395">
        <v>568544</v>
      </c>
      <c r="B844" s="441" t="s">
        <v>804</v>
      </c>
      <c r="C844" s="397"/>
      <c r="D844" s="436"/>
      <c r="E844" s="436"/>
      <c r="F844" s="418"/>
      <c r="G844" s="544">
        <f t="shared" si="121"/>
        <v>0</v>
      </c>
      <c r="H844" s="414"/>
      <c r="I844" s="555"/>
      <c r="J844" s="555"/>
      <c r="K844" s="403"/>
      <c r="L844" s="541">
        <f t="shared" si="122"/>
      </c>
      <c r="M844" s="542"/>
      <c r="N844" s="544">
        <v>0</v>
      </c>
      <c r="O844" s="542"/>
      <c r="P844" s="545">
        <f>BOKFØRT!C844</f>
        <v>0</v>
      </c>
      <c r="Q844" s="583">
        <f t="shared" si="124"/>
        <v>0</v>
      </c>
      <c r="R844" s="199"/>
      <c r="S844" s="199"/>
    </row>
    <row r="845" spans="1:19" s="1" customFormat="1" ht="12.75">
      <c r="A845" s="395">
        <v>568551</v>
      </c>
      <c r="B845" s="441" t="s">
        <v>358</v>
      </c>
      <c r="C845" s="397"/>
      <c r="D845" s="436"/>
      <c r="E845" s="436"/>
      <c r="F845" s="418"/>
      <c r="G845" s="544">
        <f t="shared" si="121"/>
        <v>0</v>
      </c>
      <c r="H845" s="414"/>
      <c r="I845" s="555"/>
      <c r="J845" s="555"/>
      <c r="K845" s="403"/>
      <c r="L845" s="541">
        <f t="shared" si="122"/>
      </c>
      <c r="M845" s="542"/>
      <c r="N845" s="544">
        <v>0</v>
      </c>
      <c r="O845" s="542"/>
      <c r="P845" s="545">
        <f>BOKFØRT!C845</f>
        <v>0</v>
      </c>
      <c r="Q845" s="583">
        <f t="shared" si="124"/>
        <v>0</v>
      </c>
      <c r="R845" s="199"/>
      <c r="S845" s="199"/>
    </row>
    <row r="846" spans="1:19" s="1" customFormat="1" ht="12.75">
      <c r="A846" s="395">
        <v>568553</v>
      </c>
      <c r="B846" s="441" t="s">
        <v>805</v>
      </c>
      <c r="C846" s="397"/>
      <c r="D846" s="436"/>
      <c r="E846" s="436"/>
      <c r="F846" s="418"/>
      <c r="G846" s="544">
        <f t="shared" si="121"/>
        <v>0</v>
      </c>
      <c r="H846" s="414"/>
      <c r="I846" s="555"/>
      <c r="J846" s="555"/>
      <c r="K846" s="403"/>
      <c r="L846" s="541">
        <f t="shared" si="122"/>
      </c>
      <c r="M846" s="542"/>
      <c r="N846" s="544">
        <v>0</v>
      </c>
      <c r="O846" s="542"/>
      <c r="P846" s="545">
        <f>BOKFØRT!C846</f>
        <v>0</v>
      </c>
      <c r="Q846" s="583">
        <f t="shared" si="124"/>
        <v>0</v>
      </c>
      <c r="R846" s="199"/>
      <c r="S846" s="199"/>
    </row>
    <row r="847" spans="1:19" s="1" customFormat="1" ht="12.75">
      <c r="A847" s="395">
        <v>568554</v>
      </c>
      <c r="B847" s="441" t="s">
        <v>806</v>
      </c>
      <c r="C847" s="397"/>
      <c r="D847" s="436"/>
      <c r="E847" s="436"/>
      <c r="F847" s="418"/>
      <c r="G847" s="544">
        <f t="shared" si="121"/>
        <v>0</v>
      </c>
      <c r="H847" s="414"/>
      <c r="I847" s="555"/>
      <c r="J847" s="555"/>
      <c r="K847" s="403"/>
      <c r="L847" s="541">
        <f t="shared" si="122"/>
      </c>
      <c r="M847" s="542"/>
      <c r="N847" s="544">
        <v>0</v>
      </c>
      <c r="O847" s="542"/>
      <c r="P847" s="545">
        <f>BOKFØRT!C847</f>
        <v>0</v>
      </c>
      <c r="Q847" s="583">
        <f t="shared" si="124"/>
        <v>0</v>
      </c>
      <c r="R847" s="199"/>
      <c r="S847" s="199"/>
    </row>
    <row r="848" spans="1:19" s="1" customFormat="1" ht="12.75">
      <c r="A848" s="395">
        <v>568557</v>
      </c>
      <c r="B848" s="408" t="s">
        <v>807</v>
      </c>
      <c r="C848" s="397"/>
      <c r="D848" s="436"/>
      <c r="E848" s="436"/>
      <c r="F848" s="418"/>
      <c r="G848" s="544">
        <f t="shared" si="121"/>
        <v>0</v>
      </c>
      <c r="H848" s="414"/>
      <c r="I848" s="555"/>
      <c r="J848" s="555"/>
      <c r="K848" s="403"/>
      <c r="L848" s="541">
        <f t="shared" si="122"/>
      </c>
      <c r="M848" s="542"/>
      <c r="N848" s="544">
        <v>0</v>
      </c>
      <c r="O848" s="542"/>
      <c r="P848" s="545">
        <f>BOKFØRT!C848</f>
        <v>0</v>
      </c>
      <c r="Q848" s="583">
        <f t="shared" si="123"/>
        <v>0</v>
      </c>
      <c r="R848" s="199"/>
      <c r="S848" s="199"/>
    </row>
    <row r="849" spans="1:19" s="1" customFormat="1" ht="12.75">
      <c r="A849" s="395">
        <v>568560</v>
      </c>
      <c r="B849" s="441" t="s">
        <v>808</v>
      </c>
      <c r="C849" s="397"/>
      <c r="D849" s="436"/>
      <c r="E849" s="436"/>
      <c r="F849" s="461"/>
      <c r="G849" s="544">
        <f t="shared" si="121"/>
        <v>0</v>
      </c>
      <c r="H849" s="414"/>
      <c r="I849" s="555"/>
      <c r="J849" s="555"/>
      <c r="K849" s="403"/>
      <c r="L849" s="541">
        <f t="shared" si="122"/>
      </c>
      <c r="M849" s="542"/>
      <c r="N849" s="544">
        <v>0</v>
      </c>
      <c r="O849" s="542"/>
      <c r="P849" s="545">
        <f>BOKFØRT!C849</f>
        <v>0</v>
      </c>
      <c r="Q849" s="583">
        <f t="shared" si="123"/>
        <v>0</v>
      </c>
      <c r="R849" s="199"/>
      <c r="S849" s="199"/>
    </row>
    <row r="850" spans="1:19" s="1" customFormat="1" ht="12.75">
      <c r="A850" s="395">
        <v>568561</v>
      </c>
      <c r="B850" s="441" t="s">
        <v>809</v>
      </c>
      <c r="C850" s="397"/>
      <c r="D850" s="436"/>
      <c r="E850" s="436"/>
      <c r="F850" s="418"/>
      <c r="G850" s="544">
        <f t="shared" si="121"/>
        <v>0</v>
      </c>
      <c r="H850" s="414"/>
      <c r="I850" s="555"/>
      <c r="J850" s="555"/>
      <c r="K850" s="403"/>
      <c r="L850" s="541">
        <f t="shared" si="122"/>
      </c>
      <c r="M850" s="542"/>
      <c r="N850" s="544">
        <v>0</v>
      </c>
      <c r="O850" s="542"/>
      <c r="P850" s="545">
        <f>BOKFØRT!C850</f>
        <v>0</v>
      </c>
      <c r="Q850" s="583">
        <f t="shared" si="123"/>
        <v>0</v>
      </c>
      <c r="R850" s="199"/>
      <c r="S850" s="199"/>
    </row>
    <row r="851" spans="1:19" s="1" customFormat="1" ht="12.75">
      <c r="A851" s="395">
        <v>568562</v>
      </c>
      <c r="B851" s="408" t="s">
        <v>785</v>
      </c>
      <c r="C851" s="397"/>
      <c r="D851" s="436"/>
      <c r="E851" s="436"/>
      <c r="F851" s="418"/>
      <c r="G851" s="544">
        <f t="shared" si="121"/>
        <v>0</v>
      </c>
      <c r="H851" s="414"/>
      <c r="I851" s="555"/>
      <c r="J851" s="555"/>
      <c r="K851" s="403"/>
      <c r="L851" s="541">
        <f t="shared" si="122"/>
      </c>
      <c r="M851" s="542"/>
      <c r="N851" s="544">
        <v>0</v>
      </c>
      <c r="O851" s="542"/>
      <c r="P851" s="545">
        <f>BOKFØRT!C851</f>
        <v>0</v>
      </c>
      <c r="Q851" s="583">
        <f t="shared" si="123"/>
        <v>0</v>
      </c>
      <c r="R851" s="199"/>
      <c r="S851" s="199"/>
    </row>
    <row r="852" spans="1:19" s="1" customFormat="1" ht="12.75">
      <c r="A852" s="395">
        <v>568563</v>
      </c>
      <c r="B852" s="408" t="s">
        <v>786</v>
      </c>
      <c r="C852" s="397"/>
      <c r="D852" s="436"/>
      <c r="E852" s="436"/>
      <c r="F852" s="418"/>
      <c r="G852" s="544">
        <f t="shared" si="121"/>
        <v>0</v>
      </c>
      <c r="H852" s="414"/>
      <c r="I852" s="555"/>
      <c r="J852" s="555"/>
      <c r="K852" s="403"/>
      <c r="L852" s="541">
        <f t="shared" si="122"/>
      </c>
      <c r="M852" s="542"/>
      <c r="N852" s="544">
        <v>0</v>
      </c>
      <c r="O852" s="542"/>
      <c r="P852" s="545">
        <f>BOKFØRT!C852</f>
        <v>0</v>
      </c>
      <c r="Q852" s="583">
        <f t="shared" si="123"/>
        <v>0</v>
      </c>
      <c r="R852" s="199"/>
      <c r="S852" s="199"/>
    </row>
    <row r="853" spans="1:19" s="1" customFormat="1" ht="12.75">
      <c r="A853" s="395">
        <v>568564</v>
      </c>
      <c r="B853" s="408" t="s">
        <v>787</v>
      </c>
      <c r="C853" s="397"/>
      <c r="D853" s="436"/>
      <c r="E853" s="436"/>
      <c r="F853" s="418"/>
      <c r="G853" s="544">
        <f t="shared" si="121"/>
        <v>0</v>
      </c>
      <c r="H853" s="414"/>
      <c r="I853" s="555"/>
      <c r="J853" s="555"/>
      <c r="K853" s="403"/>
      <c r="L853" s="541">
        <f t="shared" si="122"/>
      </c>
      <c r="M853" s="542"/>
      <c r="N853" s="544">
        <v>0</v>
      </c>
      <c r="O853" s="542"/>
      <c r="P853" s="545">
        <f>BOKFØRT!C853</f>
        <v>0</v>
      </c>
      <c r="Q853" s="583">
        <f t="shared" si="123"/>
        <v>0</v>
      </c>
      <c r="R853" s="199"/>
      <c r="S853" s="199"/>
    </row>
    <row r="854" spans="1:19" s="1" customFormat="1" ht="12.75">
      <c r="A854" s="395">
        <v>568566</v>
      </c>
      <c r="B854" s="408" t="s">
        <v>810</v>
      </c>
      <c r="C854" s="397"/>
      <c r="D854" s="436"/>
      <c r="E854" s="436"/>
      <c r="F854" s="418"/>
      <c r="G854" s="544">
        <f t="shared" si="121"/>
        <v>0</v>
      </c>
      <c r="H854" s="414"/>
      <c r="I854" s="555"/>
      <c r="J854" s="555"/>
      <c r="K854" s="403"/>
      <c r="L854" s="541">
        <f t="shared" si="122"/>
      </c>
      <c r="M854" s="542"/>
      <c r="N854" s="544">
        <v>0</v>
      </c>
      <c r="O854" s="542"/>
      <c r="P854" s="545">
        <f>BOKFØRT!C854</f>
        <v>0</v>
      </c>
      <c r="Q854" s="583">
        <f t="shared" si="123"/>
        <v>0</v>
      </c>
      <c r="R854" s="199"/>
      <c r="S854" s="199"/>
    </row>
    <row r="855" spans="1:19" s="1" customFormat="1" ht="12.75">
      <c r="A855" s="395">
        <v>568568</v>
      </c>
      <c r="B855" s="408" t="s">
        <v>788</v>
      </c>
      <c r="C855" s="397"/>
      <c r="D855" s="436"/>
      <c r="E855" s="436"/>
      <c r="F855" s="418"/>
      <c r="G855" s="544">
        <f t="shared" si="121"/>
        <v>0</v>
      </c>
      <c r="H855" s="414"/>
      <c r="I855" s="555"/>
      <c r="J855" s="555"/>
      <c r="K855" s="403"/>
      <c r="L855" s="541">
        <f t="shared" si="122"/>
      </c>
      <c r="M855" s="542"/>
      <c r="N855" s="544">
        <v>0</v>
      </c>
      <c r="O855" s="542"/>
      <c r="P855" s="545">
        <f>BOKFØRT!C855</f>
        <v>0</v>
      </c>
      <c r="Q855" s="583">
        <f t="shared" si="123"/>
        <v>0</v>
      </c>
      <c r="R855" s="199"/>
      <c r="S855" s="199"/>
    </row>
    <row r="856" spans="1:19" s="1" customFormat="1" ht="12.75">
      <c r="A856" s="395">
        <v>568569</v>
      </c>
      <c r="B856" s="441" t="s">
        <v>811</v>
      </c>
      <c r="C856" s="397"/>
      <c r="D856" s="436"/>
      <c r="E856" s="436"/>
      <c r="F856" s="418"/>
      <c r="G856" s="544">
        <f t="shared" si="121"/>
        <v>0</v>
      </c>
      <c r="H856" s="414"/>
      <c r="I856" s="555"/>
      <c r="J856" s="555"/>
      <c r="K856" s="403"/>
      <c r="L856" s="541">
        <f t="shared" si="122"/>
      </c>
      <c r="M856" s="542"/>
      <c r="N856" s="544">
        <v>0</v>
      </c>
      <c r="O856" s="542"/>
      <c r="P856" s="545">
        <f>BOKFØRT!C856</f>
        <v>0</v>
      </c>
      <c r="Q856" s="583">
        <f t="shared" si="123"/>
        <v>0</v>
      </c>
      <c r="R856" s="199"/>
      <c r="S856" s="199"/>
    </row>
    <row r="857" spans="1:19" s="1" customFormat="1" ht="12.75">
      <c r="A857" s="395">
        <v>568570</v>
      </c>
      <c r="B857" s="441" t="s">
        <v>356</v>
      </c>
      <c r="C857" s="397"/>
      <c r="D857" s="436"/>
      <c r="E857" s="436"/>
      <c r="F857" s="418"/>
      <c r="G857" s="544">
        <f t="shared" si="121"/>
        <v>0</v>
      </c>
      <c r="H857" s="414"/>
      <c r="I857" s="555"/>
      <c r="J857" s="555"/>
      <c r="K857" s="403"/>
      <c r="L857" s="541">
        <f t="shared" si="122"/>
      </c>
      <c r="M857" s="542"/>
      <c r="N857" s="544">
        <v>0</v>
      </c>
      <c r="O857" s="542"/>
      <c r="P857" s="545">
        <f>BOKFØRT!C857</f>
        <v>0</v>
      </c>
      <c r="Q857" s="583">
        <f t="shared" si="123"/>
        <v>0</v>
      </c>
      <c r="R857" s="199"/>
      <c r="S857" s="199"/>
    </row>
    <row r="858" spans="1:19" s="1" customFormat="1" ht="12.75">
      <c r="A858" s="395">
        <v>568571</v>
      </c>
      <c r="B858" s="441" t="s">
        <v>273</v>
      </c>
      <c r="C858" s="397"/>
      <c r="D858" s="436"/>
      <c r="E858" s="436"/>
      <c r="F858" s="418"/>
      <c r="G858" s="544">
        <f t="shared" si="121"/>
        <v>0</v>
      </c>
      <c r="H858" s="414"/>
      <c r="I858" s="555"/>
      <c r="J858" s="555"/>
      <c r="K858" s="403"/>
      <c r="L858" s="541">
        <f t="shared" si="122"/>
      </c>
      <c r="M858" s="542"/>
      <c r="N858" s="544">
        <v>0</v>
      </c>
      <c r="O858" s="542"/>
      <c r="P858" s="545">
        <f>BOKFØRT!C858</f>
        <v>0</v>
      </c>
      <c r="Q858" s="583">
        <f t="shared" si="123"/>
        <v>0</v>
      </c>
      <c r="R858" s="199"/>
      <c r="S858" s="199"/>
    </row>
    <row r="859" spans="1:19" s="1" customFormat="1" ht="12.75">
      <c r="A859" s="395">
        <v>568573</v>
      </c>
      <c r="B859" s="441" t="s">
        <v>812</v>
      </c>
      <c r="C859" s="397"/>
      <c r="D859" s="436"/>
      <c r="E859" s="436"/>
      <c r="F859" s="418"/>
      <c r="G859" s="544">
        <f t="shared" si="121"/>
        <v>0</v>
      </c>
      <c r="H859" s="414"/>
      <c r="I859" s="555"/>
      <c r="J859" s="555"/>
      <c r="K859" s="403"/>
      <c r="L859" s="541">
        <f t="shared" si="122"/>
      </c>
      <c r="M859" s="542"/>
      <c r="N859" s="544">
        <v>0</v>
      </c>
      <c r="O859" s="542"/>
      <c r="P859" s="545">
        <f>BOKFØRT!C859</f>
        <v>0</v>
      </c>
      <c r="Q859" s="583">
        <f t="shared" si="123"/>
        <v>0</v>
      </c>
      <c r="R859" s="199"/>
      <c r="S859" s="199"/>
    </row>
    <row r="860" spans="1:19" s="1" customFormat="1" ht="12.75">
      <c r="A860" s="395">
        <v>568574</v>
      </c>
      <c r="B860" s="441" t="s">
        <v>813</v>
      </c>
      <c r="C860" s="397"/>
      <c r="D860" s="436"/>
      <c r="E860" s="436"/>
      <c r="F860" s="418"/>
      <c r="G860" s="544">
        <f t="shared" si="121"/>
        <v>0</v>
      </c>
      <c r="H860" s="414"/>
      <c r="I860" s="555"/>
      <c r="J860" s="555"/>
      <c r="K860" s="403"/>
      <c r="L860" s="541">
        <f t="shared" si="122"/>
      </c>
      <c r="M860" s="542"/>
      <c r="N860" s="544">
        <v>0</v>
      </c>
      <c r="O860" s="542"/>
      <c r="P860" s="545">
        <f>BOKFØRT!C860</f>
        <v>0</v>
      </c>
      <c r="Q860" s="583">
        <f t="shared" si="123"/>
        <v>0</v>
      </c>
      <c r="R860" s="199"/>
      <c r="S860" s="199"/>
    </row>
    <row r="861" spans="1:19" s="1" customFormat="1" ht="12.75">
      <c r="A861" s="395">
        <v>568575</v>
      </c>
      <c r="B861" s="441" t="s">
        <v>814</v>
      </c>
      <c r="C861" s="397"/>
      <c r="D861" s="436"/>
      <c r="E861" s="436"/>
      <c r="F861" s="418"/>
      <c r="G861" s="544">
        <f t="shared" si="121"/>
        <v>0</v>
      </c>
      <c r="H861" s="414"/>
      <c r="I861" s="555"/>
      <c r="J861" s="555"/>
      <c r="K861" s="403"/>
      <c r="L861" s="541">
        <f t="shared" si="122"/>
      </c>
      <c r="M861" s="542"/>
      <c r="N861" s="544">
        <v>0</v>
      </c>
      <c r="O861" s="542"/>
      <c r="P861" s="545">
        <f>BOKFØRT!C861</f>
        <v>0</v>
      </c>
      <c r="Q861" s="583">
        <f t="shared" si="123"/>
        <v>0</v>
      </c>
      <c r="R861" s="199"/>
      <c r="S861" s="199"/>
    </row>
    <row r="862" spans="1:19" s="1" customFormat="1" ht="12.75">
      <c r="A862" s="395">
        <v>568577</v>
      </c>
      <c r="B862" s="441" t="s">
        <v>815</v>
      </c>
      <c r="C862" s="397"/>
      <c r="D862" s="436"/>
      <c r="E862" s="436"/>
      <c r="F862" s="418"/>
      <c r="G862" s="544">
        <f t="shared" si="121"/>
        <v>0</v>
      </c>
      <c r="H862" s="414"/>
      <c r="I862" s="555"/>
      <c r="J862" s="555"/>
      <c r="K862" s="403"/>
      <c r="L862" s="541">
        <f t="shared" si="122"/>
      </c>
      <c r="M862" s="542"/>
      <c r="N862" s="544">
        <v>0</v>
      </c>
      <c r="O862" s="542"/>
      <c r="P862" s="545">
        <f>BOKFØRT!C862</f>
        <v>0</v>
      </c>
      <c r="Q862" s="583">
        <f t="shared" si="123"/>
        <v>0</v>
      </c>
      <c r="R862" s="199"/>
      <c r="S862" s="199"/>
    </row>
    <row r="863" spans="1:19" s="1" customFormat="1" ht="12.75">
      <c r="A863" s="395">
        <v>568580</v>
      </c>
      <c r="B863" s="441" t="s">
        <v>816</v>
      </c>
      <c r="C863" s="397"/>
      <c r="D863" s="436"/>
      <c r="E863" s="436"/>
      <c r="F863" s="418"/>
      <c r="G863" s="544">
        <f t="shared" si="121"/>
        <v>0</v>
      </c>
      <c r="H863" s="414"/>
      <c r="I863" s="555"/>
      <c r="J863" s="555"/>
      <c r="K863" s="403"/>
      <c r="L863" s="541">
        <f t="shared" si="122"/>
      </c>
      <c r="M863" s="542"/>
      <c r="N863" s="544">
        <v>0</v>
      </c>
      <c r="O863" s="542"/>
      <c r="P863" s="545">
        <f>BOKFØRT!C863</f>
        <v>0</v>
      </c>
      <c r="Q863" s="583">
        <f t="shared" si="123"/>
        <v>0</v>
      </c>
      <c r="R863" s="199"/>
      <c r="S863" s="199"/>
    </row>
    <row r="864" spans="1:19" s="1" customFormat="1" ht="12.75">
      <c r="A864" s="395">
        <v>568591</v>
      </c>
      <c r="B864" s="441" t="s">
        <v>817</v>
      </c>
      <c r="C864" s="397"/>
      <c r="D864" s="436"/>
      <c r="E864" s="436"/>
      <c r="F864" s="418"/>
      <c r="G864" s="544">
        <f t="shared" si="121"/>
        <v>0</v>
      </c>
      <c r="H864" s="414"/>
      <c r="I864" s="540"/>
      <c r="J864" s="540"/>
      <c r="K864" s="403"/>
      <c r="L864" s="541">
        <f t="shared" si="122"/>
      </c>
      <c r="M864" s="542"/>
      <c r="N864" s="544">
        <v>0</v>
      </c>
      <c r="O864" s="542"/>
      <c r="P864" s="545">
        <f>BOKFØRT!C864</f>
        <v>0</v>
      </c>
      <c r="Q864" s="583">
        <f t="shared" si="123"/>
        <v>0</v>
      </c>
      <c r="R864" s="199"/>
      <c r="S864" s="199"/>
    </row>
    <row r="865" spans="1:19" s="1" customFormat="1" ht="12.75">
      <c r="A865" s="395">
        <v>568592</v>
      </c>
      <c r="B865" s="441" t="s">
        <v>293</v>
      </c>
      <c r="C865" s="397"/>
      <c r="D865" s="436"/>
      <c r="E865" s="436"/>
      <c r="F865" s="461"/>
      <c r="G865" s="544">
        <f t="shared" si="121"/>
        <v>0</v>
      </c>
      <c r="H865" s="414"/>
      <c r="I865" s="540"/>
      <c r="J865" s="540"/>
      <c r="K865" s="403"/>
      <c r="L865" s="541">
        <f t="shared" si="122"/>
      </c>
      <c r="M865" s="542"/>
      <c r="N865" s="544">
        <v>0</v>
      </c>
      <c r="O865" s="542"/>
      <c r="P865" s="545">
        <f>BOKFØRT!C865</f>
        <v>0</v>
      </c>
      <c r="Q865" s="583">
        <f t="shared" si="123"/>
        <v>0</v>
      </c>
      <c r="R865" s="199"/>
      <c r="S865" s="199"/>
    </row>
    <row r="866" spans="1:19" s="1" customFormat="1" ht="12.75">
      <c r="A866" s="395">
        <v>568594</v>
      </c>
      <c r="B866" s="441" t="s">
        <v>818</v>
      </c>
      <c r="C866" s="397"/>
      <c r="D866" s="436"/>
      <c r="E866" s="436"/>
      <c r="F866" s="461"/>
      <c r="G866" s="544">
        <f t="shared" si="121"/>
        <v>0</v>
      </c>
      <c r="H866" s="414"/>
      <c r="I866" s="540"/>
      <c r="J866" s="540"/>
      <c r="K866" s="403"/>
      <c r="L866" s="541">
        <f t="shared" si="122"/>
      </c>
      <c r="M866" s="542"/>
      <c r="N866" s="544">
        <v>0</v>
      </c>
      <c r="O866" s="542"/>
      <c r="P866" s="545">
        <f>BOKFØRT!C866</f>
        <v>0</v>
      </c>
      <c r="Q866" s="583">
        <f t="shared" si="123"/>
        <v>0</v>
      </c>
      <c r="R866" s="199"/>
      <c r="S866" s="199"/>
    </row>
    <row r="867" spans="1:19" s="1" customFormat="1" ht="12.75">
      <c r="A867" s="395">
        <v>568595</v>
      </c>
      <c r="B867" s="441" t="s">
        <v>819</v>
      </c>
      <c r="C867" s="397"/>
      <c r="D867" s="436"/>
      <c r="E867" s="436"/>
      <c r="F867" s="461"/>
      <c r="G867" s="544">
        <f t="shared" si="121"/>
        <v>0</v>
      </c>
      <c r="H867" s="414"/>
      <c r="I867" s="540"/>
      <c r="J867" s="540"/>
      <c r="K867" s="403"/>
      <c r="L867" s="541">
        <f t="shared" si="122"/>
      </c>
      <c r="M867" s="542"/>
      <c r="N867" s="544">
        <v>0</v>
      </c>
      <c r="O867" s="542"/>
      <c r="P867" s="545">
        <f>BOKFØRT!C867</f>
        <v>0</v>
      </c>
      <c r="Q867" s="583">
        <f t="shared" si="123"/>
        <v>0</v>
      </c>
      <c r="R867" s="199"/>
      <c r="S867" s="199"/>
    </row>
    <row r="868" spans="1:19" s="1" customFormat="1" ht="12.75">
      <c r="A868" s="395">
        <v>568597</v>
      </c>
      <c r="B868" s="441" t="s">
        <v>790</v>
      </c>
      <c r="C868" s="397"/>
      <c r="D868" s="436"/>
      <c r="E868" s="436"/>
      <c r="F868" s="461"/>
      <c r="G868" s="544">
        <f t="shared" si="121"/>
        <v>0</v>
      </c>
      <c r="H868" s="414"/>
      <c r="I868" s="540"/>
      <c r="J868" s="540"/>
      <c r="K868" s="403"/>
      <c r="L868" s="541">
        <f t="shared" si="122"/>
      </c>
      <c r="M868" s="542"/>
      <c r="N868" s="544">
        <v>0</v>
      </c>
      <c r="O868" s="542"/>
      <c r="P868" s="545">
        <f>BOKFØRT!C868</f>
        <v>0</v>
      </c>
      <c r="Q868" s="583">
        <f t="shared" si="123"/>
        <v>0</v>
      </c>
      <c r="R868" s="199"/>
      <c r="S868" s="199"/>
    </row>
    <row r="869" spans="1:19" s="1" customFormat="1" ht="12.75">
      <c r="A869" s="395">
        <v>568598</v>
      </c>
      <c r="B869" s="408" t="s">
        <v>789</v>
      </c>
      <c r="C869" s="397"/>
      <c r="D869" s="436"/>
      <c r="E869" s="436"/>
      <c r="F869" s="418"/>
      <c r="G869" s="544">
        <f>IF(X=0,(IF(Me=0,Sa,Me*Sa)),(IF(Me=0,Sa*X,Me*X*Sa)))</f>
        <v>0</v>
      </c>
      <c r="H869" s="414"/>
      <c r="I869" s="540"/>
      <c r="J869" s="540"/>
      <c r="K869" s="403"/>
      <c r="L869" s="541">
        <f t="shared" si="122"/>
      </c>
      <c r="M869" s="542"/>
      <c r="N869" s="544">
        <v>0</v>
      </c>
      <c r="O869" s="542"/>
      <c r="P869" s="545">
        <f>BOKFØRT!C869</f>
        <v>0</v>
      </c>
      <c r="Q869" s="583">
        <f t="shared" si="123"/>
        <v>0</v>
      </c>
      <c r="R869" s="199"/>
      <c r="S869" s="199"/>
    </row>
    <row r="870" spans="1:19" s="1" customFormat="1" ht="12.75">
      <c r="A870" s="395">
        <v>568599</v>
      </c>
      <c r="B870" s="420" t="s">
        <v>359</v>
      </c>
      <c r="C870" s="397" t="s">
        <v>416</v>
      </c>
      <c r="D870" s="422"/>
      <c r="E870" s="422"/>
      <c r="F870" s="423"/>
      <c r="G870" s="548">
        <f>IF(X=0,(IF(Me=0,Sa,Me*Sa)),(IF(Me=0,Sa*X,Me*X*Sa)))</f>
        <v>0</v>
      </c>
      <c r="H870" s="414"/>
      <c r="I870" s="540"/>
      <c r="J870" s="540"/>
      <c r="K870" s="403"/>
      <c r="L870" s="541">
        <f t="shared" si="122"/>
      </c>
      <c r="M870" s="542"/>
      <c r="N870" s="548">
        <v>0</v>
      </c>
      <c r="O870" s="542"/>
      <c r="P870" s="550">
        <f>BOKFØRT!C870</f>
        <v>0</v>
      </c>
      <c r="Q870" s="583">
        <f t="shared" si="123"/>
        <v>0</v>
      </c>
      <c r="R870" s="199"/>
      <c r="S870" s="199"/>
    </row>
    <row r="871" spans="1:19" s="1" customFormat="1" ht="13.5" thickBot="1">
      <c r="A871" s="445" t="s">
        <v>401</v>
      </c>
      <c r="B871" s="426"/>
      <c r="C871" s="451"/>
      <c r="D871" s="433"/>
      <c r="E871" s="434"/>
      <c r="F871" s="448" t="s">
        <v>570</v>
      </c>
      <c r="G871" s="558">
        <f>SUM(G828:G870)</f>
        <v>0</v>
      </c>
      <c r="H871" s="414"/>
      <c r="I871" s="555"/>
      <c r="J871" s="555"/>
      <c r="K871" s="394"/>
      <c r="L871" s="558">
        <f>SUM(L828:L870)</f>
        <v>0</v>
      </c>
      <c r="M871" s="542"/>
      <c r="N871" s="558">
        <v>0</v>
      </c>
      <c r="O871" s="542"/>
      <c r="P871" s="559">
        <f>SUM(P828:P870)</f>
        <v>0</v>
      </c>
      <c r="Q871" s="583">
        <f t="shared" si="123"/>
        <v>0</v>
      </c>
      <c r="R871" s="199"/>
      <c r="S871" s="199"/>
    </row>
    <row r="872" spans="1:19" s="1" customFormat="1" ht="0.75" customHeight="1" thickTop="1">
      <c r="A872" s="431"/>
      <c r="B872" s="432"/>
      <c r="C872" s="427"/>
      <c r="D872" s="450"/>
      <c r="E872" s="459"/>
      <c r="F872" s="450"/>
      <c r="G872" s="555"/>
      <c r="H872" s="414"/>
      <c r="I872" s="540"/>
      <c r="J872" s="540"/>
      <c r="K872" s="394"/>
      <c r="L872" s="555"/>
      <c r="M872" s="542"/>
      <c r="N872" s="555"/>
      <c r="O872" s="542"/>
      <c r="P872" s="565"/>
      <c r="Q872" s="583"/>
      <c r="R872" s="199"/>
      <c r="S872" s="199"/>
    </row>
    <row r="873" spans="1:19" s="1" customFormat="1" ht="24.75" customHeight="1" thickTop="1">
      <c r="A873" s="391" t="s">
        <v>537</v>
      </c>
      <c r="B873" s="456"/>
      <c r="C873" s="427"/>
      <c r="D873" s="511" t="s">
        <v>422</v>
      </c>
      <c r="E873" s="512" t="s">
        <v>423</v>
      </c>
      <c r="F873" s="511" t="s">
        <v>424</v>
      </c>
      <c r="G873" s="533" t="s">
        <v>425</v>
      </c>
      <c r="H873" s="511" t="s">
        <v>426</v>
      </c>
      <c r="I873" s="534" t="s">
        <v>427</v>
      </c>
      <c r="J873" s="534"/>
      <c r="K873" s="394"/>
      <c r="L873" s="533" t="s">
        <v>688</v>
      </c>
      <c r="M873" s="536"/>
      <c r="N873" s="533" t="s">
        <v>425</v>
      </c>
      <c r="O873" s="536"/>
      <c r="P873" s="533" t="s">
        <v>677</v>
      </c>
      <c r="Q873" s="583"/>
      <c r="R873" s="199"/>
      <c r="S873" s="199"/>
    </row>
    <row r="874" spans="1:19" s="1" customFormat="1" ht="12.75">
      <c r="A874" s="395">
        <v>611110</v>
      </c>
      <c r="B874" s="408" t="s">
        <v>360</v>
      </c>
      <c r="C874" s="397"/>
      <c r="D874" s="436"/>
      <c r="E874" s="436"/>
      <c r="F874" s="418"/>
      <c r="G874" s="537">
        <f aca="true" t="shared" si="125" ref="G874:G880">IF(X=0,(IF(Me=0,Sa,Me*Sa)),(IF(Me=0,Sa*X,Me*X*Sa)))</f>
        <v>0</v>
      </c>
      <c r="H874" s="538">
        <f aca="true" t="shared" si="126" ref="H874:H880">IF(Sum,Sos,0)</f>
        <v>0</v>
      </c>
      <c r="I874" s="539">
        <f aca="true" t="shared" si="127" ref="I874:I880">IF(Prosent&lt;&gt;0,(Sum*Prosent)/100,0)</f>
        <v>0</v>
      </c>
      <c r="J874" s="540"/>
      <c r="K874" s="403"/>
      <c r="L874" s="541">
        <f aca="true" t="shared" si="128" ref="L874:L929">IF(FMVAE&lt;&gt;"",(Sum*mva)-Sum,"")</f>
      </c>
      <c r="M874" s="542"/>
      <c r="N874" s="537">
        <v>0</v>
      </c>
      <c r="O874" s="542"/>
      <c r="P874" s="543">
        <f>BOKFØRT!C874</f>
        <v>0</v>
      </c>
      <c r="Q874" s="583">
        <f aca="true" t="shared" si="129" ref="Q874:Q930">G874+N874+P874</f>
        <v>0</v>
      </c>
      <c r="R874" s="199"/>
      <c r="S874" s="199"/>
    </row>
    <row r="875" spans="1:19" s="1" customFormat="1" ht="12.75">
      <c r="A875" s="395">
        <v>611112</v>
      </c>
      <c r="B875" s="408" t="s">
        <v>361</v>
      </c>
      <c r="C875" s="397"/>
      <c r="D875" s="436"/>
      <c r="E875" s="436"/>
      <c r="F875" s="418"/>
      <c r="G875" s="544">
        <f t="shared" si="125"/>
        <v>0</v>
      </c>
      <c r="H875" s="538">
        <f t="shared" si="126"/>
        <v>0</v>
      </c>
      <c r="I875" s="539">
        <f t="shared" si="127"/>
        <v>0</v>
      </c>
      <c r="J875" s="540"/>
      <c r="K875" s="403"/>
      <c r="L875" s="541">
        <f t="shared" si="128"/>
      </c>
      <c r="M875" s="542"/>
      <c r="N875" s="544">
        <v>0</v>
      </c>
      <c r="O875" s="542"/>
      <c r="P875" s="545">
        <f>BOKFØRT!C875</f>
        <v>0</v>
      </c>
      <c r="Q875" s="583">
        <f t="shared" si="129"/>
        <v>0</v>
      </c>
      <c r="R875" s="199"/>
      <c r="S875" s="199"/>
    </row>
    <row r="876" spans="1:19" s="1" customFormat="1" ht="12.75">
      <c r="A876" s="395">
        <v>611114</v>
      </c>
      <c r="B876" s="408" t="s">
        <v>362</v>
      </c>
      <c r="C876" s="397"/>
      <c r="D876" s="436"/>
      <c r="E876" s="436"/>
      <c r="F876" s="418"/>
      <c r="G876" s="544">
        <f t="shared" si="125"/>
        <v>0</v>
      </c>
      <c r="H876" s="538">
        <f t="shared" si="126"/>
        <v>0</v>
      </c>
      <c r="I876" s="539">
        <f t="shared" si="127"/>
        <v>0</v>
      </c>
      <c r="J876" s="540"/>
      <c r="K876" s="403"/>
      <c r="L876" s="541">
        <f t="shared" si="128"/>
      </c>
      <c r="M876" s="542"/>
      <c r="N876" s="544">
        <v>0</v>
      </c>
      <c r="O876" s="542"/>
      <c r="P876" s="545">
        <f>BOKFØRT!C876</f>
        <v>0</v>
      </c>
      <c r="Q876" s="583">
        <f t="shared" si="129"/>
        <v>0</v>
      </c>
      <c r="R876" s="199"/>
      <c r="S876" s="199"/>
    </row>
    <row r="877" spans="1:19" s="1" customFormat="1" ht="12.75">
      <c r="A877" s="395">
        <v>613720</v>
      </c>
      <c r="B877" s="408" t="s">
        <v>744</v>
      </c>
      <c r="C877" s="397"/>
      <c r="D877" s="436"/>
      <c r="E877" s="436"/>
      <c r="F877" s="418"/>
      <c r="G877" s="544">
        <f t="shared" si="125"/>
        <v>0</v>
      </c>
      <c r="H877" s="538">
        <f t="shared" si="126"/>
        <v>0</v>
      </c>
      <c r="I877" s="539">
        <f t="shared" si="127"/>
        <v>0</v>
      </c>
      <c r="J877" s="540"/>
      <c r="K877" s="403"/>
      <c r="L877" s="541">
        <f t="shared" si="128"/>
      </c>
      <c r="M877" s="542"/>
      <c r="N877" s="544">
        <v>0</v>
      </c>
      <c r="O877" s="542"/>
      <c r="P877" s="545">
        <f>BOKFØRT!C877</f>
        <v>0</v>
      </c>
      <c r="Q877" s="583">
        <f>G877+N877+P877</f>
        <v>0</v>
      </c>
      <c r="R877" s="199"/>
      <c r="S877" s="199"/>
    </row>
    <row r="878" spans="1:19" s="1" customFormat="1" ht="12.75">
      <c r="A878" s="395">
        <v>614090</v>
      </c>
      <c r="B878" s="408" t="s">
        <v>552</v>
      </c>
      <c r="C878" s="397"/>
      <c r="D878" s="436"/>
      <c r="E878" s="436"/>
      <c r="F878" s="418"/>
      <c r="G878" s="544">
        <f t="shared" si="125"/>
        <v>0</v>
      </c>
      <c r="H878" s="538">
        <f t="shared" si="126"/>
        <v>0</v>
      </c>
      <c r="I878" s="539">
        <f t="shared" si="127"/>
        <v>0</v>
      </c>
      <c r="J878" s="540"/>
      <c r="K878" s="403"/>
      <c r="L878" s="541">
        <f t="shared" si="128"/>
      </c>
      <c r="M878" s="542"/>
      <c r="N878" s="544">
        <v>0</v>
      </c>
      <c r="O878" s="542"/>
      <c r="P878" s="545">
        <f>BOKFØRT!C878</f>
        <v>0</v>
      </c>
      <c r="Q878" s="583">
        <f t="shared" si="129"/>
        <v>0</v>
      </c>
      <c r="R878" s="199"/>
      <c r="S878" s="199"/>
    </row>
    <row r="879" spans="1:19" s="1" customFormat="1" ht="12.75">
      <c r="A879" s="395">
        <v>614091</v>
      </c>
      <c r="B879" s="408" t="s">
        <v>553</v>
      </c>
      <c r="C879" s="397"/>
      <c r="D879" s="438"/>
      <c r="E879" s="436"/>
      <c r="F879" s="449"/>
      <c r="G879" s="544">
        <f t="shared" si="125"/>
        <v>0</v>
      </c>
      <c r="H879" s="538">
        <f t="shared" si="126"/>
        <v>0</v>
      </c>
      <c r="I879" s="539">
        <f t="shared" si="127"/>
        <v>0</v>
      </c>
      <c r="J879" s="540"/>
      <c r="K879" s="403"/>
      <c r="L879" s="541">
        <f t="shared" si="128"/>
      </c>
      <c r="M879" s="542"/>
      <c r="N879" s="544">
        <v>0</v>
      </c>
      <c r="O879" s="542"/>
      <c r="P879" s="545">
        <f>BOKFØRT!C879</f>
        <v>0</v>
      </c>
      <c r="Q879" s="583">
        <f t="shared" si="129"/>
        <v>0</v>
      </c>
      <c r="R879" s="199"/>
      <c r="S879" s="199"/>
    </row>
    <row r="880" spans="1:19" s="1" customFormat="1" ht="12.75">
      <c r="A880" s="395">
        <v>614092</v>
      </c>
      <c r="B880" s="408" t="s">
        <v>590</v>
      </c>
      <c r="C880" s="397"/>
      <c r="D880" s="436"/>
      <c r="E880" s="436"/>
      <c r="F880" s="418"/>
      <c r="G880" s="544">
        <f t="shared" si="125"/>
        <v>0</v>
      </c>
      <c r="H880" s="538">
        <f t="shared" si="126"/>
        <v>0</v>
      </c>
      <c r="I880" s="539">
        <f t="shared" si="127"/>
        <v>0</v>
      </c>
      <c r="J880" s="540"/>
      <c r="K880" s="403"/>
      <c r="L880" s="541">
        <f t="shared" si="128"/>
      </c>
      <c r="M880" s="542"/>
      <c r="N880" s="544">
        <v>0</v>
      </c>
      <c r="O880" s="542"/>
      <c r="P880" s="545">
        <f>BOKFØRT!C880</f>
        <v>0</v>
      </c>
      <c r="Q880" s="583">
        <f t="shared" si="129"/>
        <v>0</v>
      </c>
      <c r="R880" s="199"/>
      <c r="S880" s="199"/>
    </row>
    <row r="881" spans="1:19" s="1" customFormat="1" ht="12.75">
      <c r="A881" s="395">
        <v>614095</v>
      </c>
      <c r="B881" s="408" t="s">
        <v>554</v>
      </c>
      <c r="C881" s="397"/>
      <c r="D881" s="440"/>
      <c r="E881" s="440"/>
      <c r="F881" s="413"/>
      <c r="G881" s="562">
        <f>SUM(I874:I880)</f>
        <v>0</v>
      </c>
      <c r="H881" s="414"/>
      <c r="I881" s="546" t="s">
        <v>555</v>
      </c>
      <c r="J881" s="546"/>
      <c r="K881" s="573"/>
      <c r="L881" s="541"/>
      <c r="M881" s="542"/>
      <c r="N881" s="562">
        <v>0</v>
      </c>
      <c r="O881" s="542"/>
      <c r="P881" s="545">
        <f>BOKFØRT!C881</f>
        <v>0</v>
      </c>
      <c r="Q881" s="583">
        <f t="shared" si="129"/>
        <v>0</v>
      </c>
      <c r="R881" s="199"/>
      <c r="S881" s="199"/>
    </row>
    <row r="882" spans="1:19" s="1" customFormat="1" ht="12.75">
      <c r="A882" s="395">
        <v>618610</v>
      </c>
      <c r="B882" s="408" t="s">
        <v>363</v>
      </c>
      <c r="C882" s="397"/>
      <c r="D882" s="436"/>
      <c r="E882" s="436"/>
      <c r="F882" s="418"/>
      <c r="G882" s="544">
        <f aca="true" t="shared" si="130" ref="G882:G912">IF(X=0,(IF(Me=0,Sa,Me*Sa)),(IF(Me=0,Sa*X,Me*X*Sa)))</f>
        <v>0</v>
      </c>
      <c r="H882" s="414"/>
      <c r="I882" s="540"/>
      <c r="J882" s="540"/>
      <c r="K882" s="403"/>
      <c r="L882" s="541">
        <f t="shared" si="128"/>
      </c>
      <c r="M882" s="542"/>
      <c r="N882" s="544">
        <v>0</v>
      </c>
      <c r="O882" s="542"/>
      <c r="P882" s="545">
        <f>BOKFØRT!C882</f>
        <v>0</v>
      </c>
      <c r="Q882" s="583">
        <f t="shared" si="129"/>
        <v>0</v>
      </c>
      <c r="R882" s="199"/>
      <c r="S882" s="199"/>
    </row>
    <row r="883" spans="1:19" s="1" customFormat="1" ht="12.75">
      <c r="A883" s="395">
        <v>618620</v>
      </c>
      <c r="B883" s="408" t="s">
        <v>654</v>
      </c>
      <c r="C883" s="397"/>
      <c r="D883" s="436"/>
      <c r="E883" s="436"/>
      <c r="F883" s="418"/>
      <c r="G883" s="544">
        <f t="shared" si="130"/>
        <v>0</v>
      </c>
      <c r="H883" s="414"/>
      <c r="I883" s="540"/>
      <c r="J883" s="540"/>
      <c r="K883" s="403"/>
      <c r="L883" s="541">
        <f t="shared" si="128"/>
      </c>
      <c r="M883" s="542"/>
      <c r="N883" s="544">
        <v>0</v>
      </c>
      <c r="O883" s="542"/>
      <c r="P883" s="545">
        <f>BOKFØRT!C883</f>
        <v>0</v>
      </c>
      <c r="Q883" s="583">
        <f t="shared" si="129"/>
        <v>0</v>
      </c>
      <c r="R883" s="199"/>
      <c r="S883" s="199"/>
    </row>
    <row r="884" spans="1:19" s="1" customFormat="1" ht="12.75">
      <c r="A884" s="395">
        <v>618621</v>
      </c>
      <c r="B884" s="408" t="s">
        <v>364</v>
      </c>
      <c r="C884" s="397"/>
      <c r="D884" s="436"/>
      <c r="E884" s="436"/>
      <c r="F884" s="418"/>
      <c r="G884" s="544">
        <f t="shared" si="130"/>
        <v>0</v>
      </c>
      <c r="H884" s="414"/>
      <c r="I884" s="540"/>
      <c r="J884" s="540"/>
      <c r="K884" s="403"/>
      <c r="L884" s="541">
        <f t="shared" si="128"/>
      </c>
      <c r="M884" s="542"/>
      <c r="N884" s="544">
        <v>0</v>
      </c>
      <c r="O884" s="542"/>
      <c r="P884" s="545">
        <f>BOKFØRT!C884</f>
        <v>0</v>
      </c>
      <c r="Q884" s="583">
        <f t="shared" si="129"/>
        <v>0</v>
      </c>
      <c r="R884" s="199"/>
      <c r="S884" s="199"/>
    </row>
    <row r="885" spans="1:19" s="1" customFormat="1" ht="12.75">
      <c r="A885" s="395">
        <v>618622</v>
      </c>
      <c r="B885" s="408" t="s">
        <v>593</v>
      </c>
      <c r="C885" s="397"/>
      <c r="D885" s="436"/>
      <c r="E885" s="436"/>
      <c r="F885" s="418"/>
      <c r="G885" s="544">
        <f t="shared" si="130"/>
        <v>0</v>
      </c>
      <c r="H885" s="414"/>
      <c r="I885" s="540"/>
      <c r="J885" s="540"/>
      <c r="K885" s="403"/>
      <c r="L885" s="541">
        <f t="shared" si="128"/>
      </c>
      <c r="M885" s="542"/>
      <c r="N885" s="544">
        <v>0</v>
      </c>
      <c r="O885" s="542"/>
      <c r="P885" s="545">
        <f>BOKFØRT!C885</f>
        <v>0</v>
      </c>
      <c r="Q885" s="583">
        <f t="shared" si="129"/>
        <v>0</v>
      </c>
      <c r="R885" s="199"/>
      <c r="S885" s="199"/>
    </row>
    <row r="886" spans="1:19" s="1" customFormat="1" ht="12.75">
      <c r="A886" s="395">
        <v>618625</v>
      </c>
      <c r="B886" s="408" t="s">
        <v>745</v>
      </c>
      <c r="C886" s="397"/>
      <c r="D886" s="436"/>
      <c r="E886" s="436"/>
      <c r="F886" s="418"/>
      <c r="G886" s="544">
        <f t="shared" si="130"/>
        <v>0</v>
      </c>
      <c r="H886" s="414"/>
      <c r="I886" s="540"/>
      <c r="J886" s="540"/>
      <c r="K886" s="403"/>
      <c r="L886" s="541">
        <f t="shared" si="128"/>
      </c>
      <c r="M886" s="542"/>
      <c r="N886" s="544">
        <v>0</v>
      </c>
      <c r="O886" s="542"/>
      <c r="P886" s="545">
        <f>BOKFØRT!C886</f>
        <v>0</v>
      </c>
      <c r="Q886" s="583">
        <f t="shared" si="129"/>
        <v>0</v>
      </c>
      <c r="R886" s="199"/>
      <c r="S886" s="199"/>
    </row>
    <row r="887" spans="1:19" s="1" customFormat="1" ht="12.75">
      <c r="A887" s="395">
        <v>618640</v>
      </c>
      <c r="B887" s="408" t="s">
        <v>365</v>
      </c>
      <c r="C887" s="397"/>
      <c r="D887" s="436"/>
      <c r="E887" s="436"/>
      <c r="F887" s="418"/>
      <c r="G887" s="544">
        <f t="shared" si="130"/>
        <v>0</v>
      </c>
      <c r="H887" s="414"/>
      <c r="I887" s="540"/>
      <c r="J887" s="540"/>
      <c r="K887" s="403"/>
      <c r="L887" s="541">
        <f t="shared" si="128"/>
      </c>
      <c r="M887" s="542"/>
      <c r="N887" s="544">
        <v>0</v>
      </c>
      <c r="O887" s="542"/>
      <c r="P887" s="545">
        <f>BOKFØRT!C887</f>
        <v>0</v>
      </c>
      <c r="Q887" s="583">
        <f t="shared" si="129"/>
        <v>0</v>
      </c>
      <c r="R887" s="199"/>
      <c r="S887" s="199"/>
    </row>
    <row r="888" spans="1:19" s="1" customFormat="1" ht="12.75">
      <c r="A888" s="395">
        <v>618641</v>
      </c>
      <c r="B888" s="441" t="s">
        <v>366</v>
      </c>
      <c r="C888" s="397"/>
      <c r="D888" s="436"/>
      <c r="E888" s="436"/>
      <c r="F888" s="418"/>
      <c r="G888" s="544">
        <f t="shared" si="130"/>
        <v>0</v>
      </c>
      <c r="H888" s="414"/>
      <c r="I888" s="540"/>
      <c r="J888" s="540"/>
      <c r="K888" s="403"/>
      <c r="L888" s="541">
        <f t="shared" si="128"/>
      </c>
      <c r="M888" s="542"/>
      <c r="N888" s="544">
        <v>0</v>
      </c>
      <c r="O888" s="542"/>
      <c r="P888" s="545">
        <f>BOKFØRT!C888</f>
        <v>0</v>
      </c>
      <c r="Q888" s="583">
        <f t="shared" si="129"/>
        <v>0</v>
      </c>
      <c r="R888" s="199"/>
      <c r="S888" s="199"/>
    </row>
    <row r="889" spans="1:19" s="1" customFormat="1" ht="12.75">
      <c r="A889" s="395">
        <v>618642</v>
      </c>
      <c r="B889" s="441" t="s">
        <v>367</v>
      </c>
      <c r="C889" s="397"/>
      <c r="D889" s="436"/>
      <c r="E889" s="436"/>
      <c r="F889" s="418"/>
      <c r="G889" s="544">
        <f t="shared" si="130"/>
        <v>0</v>
      </c>
      <c r="H889" s="414"/>
      <c r="I889" s="540"/>
      <c r="J889" s="540"/>
      <c r="K889" s="403"/>
      <c r="L889" s="541">
        <f t="shared" si="128"/>
      </c>
      <c r="M889" s="542"/>
      <c r="N889" s="544">
        <v>0</v>
      </c>
      <c r="O889" s="542"/>
      <c r="P889" s="545">
        <f>BOKFØRT!C889</f>
        <v>0</v>
      </c>
      <c r="Q889" s="583">
        <f t="shared" si="129"/>
        <v>0</v>
      </c>
      <c r="R889" s="199"/>
      <c r="S889" s="199"/>
    </row>
    <row r="890" spans="1:19" s="1" customFormat="1" ht="12.75">
      <c r="A890" s="395">
        <v>618643</v>
      </c>
      <c r="B890" s="408" t="s">
        <v>141</v>
      </c>
      <c r="C890" s="397"/>
      <c r="D890" s="436"/>
      <c r="E890" s="436"/>
      <c r="F890" s="418"/>
      <c r="G890" s="544">
        <f t="shared" si="130"/>
        <v>0</v>
      </c>
      <c r="H890" s="414"/>
      <c r="I890" s="540"/>
      <c r="J890" s="540"/>
      <c r="K890" s="403"/>
      <c r="L890" s="541">
        <f t="shared" si="128"/>
      </c>
      <c r="M890" s="542"/>
      <c r="N890" s="544">
        <v>0</v>
      </c>
      <c r="O890" s="542"/>
      <c r="P890" s="545">
        <f>BOKFØRT!C890</f>
        <v>0</v>
      </c>
      <c r="Q890" s="583">
        <f t="shared" si="129"/>
        <v>0</v>
      </c>
      <c r="R890" s="199"/>
      <c r="S890" s="199"/>
    </row>
    <row r="891" spans="1:19" s="1" customFormat="1" ht="12.75">
      <c r="A891" s="395">
        <v>618670</v>
      </c>
      <c r="B891" s="408" t="s">
        <v>824</v>
      </c>
      <c r="C891" s="397" t="s">
        <v>416</v>
      </c>
      <c r="D891" s="436"/>
      <c r="E891" s="436"/>
      <c r="F891" s="418"/>
      <c r="G891" s="544">
        <f t="shared" si="130"/>
        <v>0</v>
      </c>
      <c r="H891" s="414"/>
      <c r="I891" s="540"/>
      <c r="J891" s="540"/>
      <c r="K891" s="403"/>
      <c r="L891" s="541">
        <f t="shared" si="128"/>
      </c>
      <c r="M891" s="542"/>
      <c r="N891" s="544">
        <v>0</v>
      </c>
      <c r="O891" s="542"/>
      <c r="P891" s="545">
        <f>BOKFØRT!C891</f>
        <v>0</v>
      </c>
      <c r="Q891" s="583">
        <f t="shared" si="129"/>
        <v>0</v>
      </c>
      <c r="R891" s="199"/>
      <c r="S891" s="199"/>
    </row>
    <row r="892" spans="1:19" s="1" customFormat="1" ht="12.75">
      <c r="A892" s="395">
        <v>618672</v>
      </c>
      <c r="B892" s="408" t="s">
        <v>369</v>
      </c>
      <c r="C892" s="397"/>
      <c r="D892" s="436"/>
      <c r="E892" s="436"/>
      <c r="F892" s="418"/>
      <c r="G892" s="544">
        <f t="shared" si="130"/>
        <v>0</v>
      </c>
      <c r="H892" s="414"/>
      <c r="I892" s="540"/>
      <c r="J892" s="540"/>
      <c r="K892" s="403"/>
      <c r="L892" s="541">
        <f t="shared" si="128"/>
      </c>
      <c r="M892" s="542"/>
      <c r="N892" s="544">
        <v>0</v>
      </c>
      <c r="O892" s="542"/>
      <c r="P892" s="545">
        <f>BOKFØRT!C892</f>
        <v>0</v>
      </c>
      <c r="Q892" s="583">
        <f>G892+N892+P892</f>
        <v>0</v>
      </c>
      <c r="R892" s="199"/>
      <c r="S892" s="199"/>
    </row>
    <row r="893" spans="1:19" s="1" customFormat="1" ht="12.75">
      <c r="A893" s="395">
        <v>618675</v>
      </c>
      <c r="B893" s="408" t="s">
        <v>746</v>
      </c>
      <c r="C893" s="397"/>
      <c r="D893" s="436"/>
      <c r="E893" s="436"/>
      <c r="F893" s="418"/>
      <c r="G893" s="544">
        <f t="shared" si="130"/>
        <v>0</v>
      </c>
      <c r="H893" s="414"/>
      <c r="I893" s="540"/>
      <c r="J893" s="540"/>
      <c r="K893" s="403"/>
      <c r="L893" s="541">
        <f t="shared" si="128"/>
      </c>
      <c r="M893" s="542"/>
      <c r="N893" s="544">
        <v>0</v>
      </c>
      <c r="O893" s="542"/>
      <c r="P893" s="545">
        <f>BOKFØRT!C893</f>
        <v>0</v>
      </c>
      <c r="Q893" s="583">
        <f>G893+N893+P893</f>
        <v>0</v>
      </c>
      <c r="R893" s="199"/>
      <c r="S893" s="199"/>
    </row>
    <row r="894" spans="1:19" s="1" customFormat="1" ht="12.75">
      <c r="A894" s="395">
        <v>618680</v>
      </c>
      <c r="B894" s="408" t="s">
        <v>371</v>
      </c>
      <c r="C894" s="397"/>
      <c r="D894" s="436"/>
      <c r="E894" s="436"/>
      <c r="F894" s="418"/>
      <c r="G894" s="544">
        <f t="shared" si="130"/>
        <v>0</v>
      </c>
      <c r="H894" s="414"/>
      <c r="I894" s="540"/>
      <c r="J894" s="540"/>
      <c r="K894" s="403"/>
      <c r="L894" s="541">
        <f t="shared" si="128"/>
      </c>
      <c r="M894" s="542"/>
      <c r="N894" s="544">
        <v>0</v>
      </c>
      <c r="O894" s="542"/>
      <c r="P894" s="545">
        <f>BOKFØRT!C894</f>
        <v>0</v>
      </c>
      <c r="Q894" s="583">
        <f t="shared" si="129"/>
        <v>0</v>
      </c>
      <c r="R894" s="199"/>
      <c r="S894" s="199"/>
    </row>
    <row r="895" spans="1:19" s="1" customFormat="1" ht="12.75">
      <c r="A895" s="395">
        <v>618681</v>
      </c>
      <c r="B895" s="408" t="s">
        <v>372</v>
      </c>
      <c r="C895" s="397"/>
      <c r="D895" s="436"/>
      <c r="E895" s="436"/>
      <c r="F895" s="418"/>
      <c r="G895" s="544">
        <f t="shared" si="130"/>
        <v>0</v>
      </c>
      <c r="H895" s="414"/>
      <c r="I895" s="540"/>
      <c r="J895" s="540"/>
      <c r="K895" s="403"/>
      <c r="L895" s="541">
        <f t="shared" si="128"/>
      </c>
      <c r="M895" s="542"/>
      <c r="N895" s="544">
        <v>0</v>
      </c>
      <c r="O895" s="542"/>
      <c r="P895" s="545">
        <f>BOKFØRT!C895</f>
        <v>0</v>
      </c>
      <c r="Q895" s="583">
        <f t="shared" si="129"/>
        <v>0</v>
      </c>
      <c r="R895" s="199"/>
      <c r="S895" s="199"/>
    </row>
    <row r="896" spans="1:19" s="1" customFormat="1" ht="12.75">
      <c r="A896" s="395">
        <v>618682</v>
      </c>
      <c r="B896" s="408" t="s">
        <v>373</v>
      </c>
      <c r="C896" s="397"/>
      <c r="D896" s="436"/>
      <c r="E896" s="436"/>
      <c r="F896" s="418"/>
      <c r="G896" s="544">
        <f t="shared" si="130"/>
        <v>0</v>
      </c>
      <c r="H896" s="414"/>
      <c r="I896" s="540"/>
      <c r="J896" s="540"/>
      <c r="K896" s="403"/>
      <c r="L896" s="541">
        <f t="shared" si="128"/>
      </c>
      <c r="M896" s="542"/>
      <c r="N896" s="544">
        <v>0</v>
      </c>
      <c r="O896" s="542"/>
      <c r="P896" s="545">
        <f>BOKFØRT!C896</f>
        <v>0</v>
      </c>
      <c r="Q896" s="583">
        <f t="shared" si="129"/>
        <v>0</v>
      </c>
      <c r="R896" s="199"/>
      <c r="S896" s="199"/>
    </row>
    <row r="897" spans="1:19" s="1" customFormat="1" ht="12.75">
      <c r="A897" s="395">
        <v>618683</v>
      </c>
      <c r="B897" s="408" t="s">
        <v>374</v>
      </c>
      <c r="C897" s="397"/>
      <c r="D897" s="436"/>
      <c r="E897" s="436"/>
      <c r="F897" s="418"/>
      <c r="G897" s="544">
        <f t="shared" si="130"/>
        <v>0</v>
      </c>
      <c r="H897" s="414"/>
      <c r="I897" s="540"/>
      <c r="J897" s="540"/>
      <c r="K897" s="403"/>
      <c r="L897" s="541">
        <f t="shared" si="128"/>
      </c>
      <c r="M897" s="542"/>
      <c r="N897" s="544">
        <v>0</v>
      </c>
      <c r="O897" s="542"/>
      <c r="P897" s="545">
        <f>BOKFØRT!C897</f>
        <v>0</v>
      </c>
      <c r="Q897" s="583">
        <f t="shared" si="129"/>
        <v>0</v>
      </c>
      <c r="R897" s="199"/>
      <c r="S897" s="199"/>
    </row>
    <row r="898" spans="1:19" s="1" customFormat="1" ht="12.75">
      <c r="A898" s="395">
        <v>618684</v>
      </c>
      <c r="B898" s="408" t="s">
        <v>651</v>
      </c>
      <c r="C898" s="397"/>
      <c r="D898" s="436"/>
      <c r="E898" s="436"/>
      <c r="F898" s="418"/>
      <c r="G898" s="544">
        <f t="shared" si="130"/>
        <v>0</v>
      </c>
      <c r="H898" s="414"/>
      <c r="I898" s="540"/>
      <c r="J898" s="540"/>
      <c r="K898" s="403"/>
      <c r="L898" s="541">
        <f t="shared" si="128"/>
      </c>
      <c r="M898" s="542"/>
      <c r="N898" s="544">
        <v>0</v>
      </c>
      <c r="O898" s="542"/>
      <c r="P898" s="545">
        <f>BOKFØRT!C898</f>
        <v>0</v>
      </c>
      <c r="Q898" s="583">
        <f t="shared" si="129"/>
        <v>0</v>
      </c>
      <c r="R898" s="199"/>
      <c r="S898" s="199"/>
    </row>
    <row r="899" spans="1:19" s="1" customFormat="1" ht="12.75">
      <c r="A899" s="395">
        <v>618685</v>
      </c>
      <c r="B899" s="408" t="s">
        <v>650</v>
      </c>
      <c r="C899" s="397"/>
      <c r="D899" s="436"/>
      <c r="E899" s="436"/>
      <c r="F899" s="418"/>
      <c r="G899" s="544">
        <f t="shared" si="130"/>
        <v>0</v>
      </c>
      <c r="H899" s="414"/>
      <c r="I899" s="540"/>
      <c r="J899" s="540"/>
      <c r="K899" s="403"/>
      <c r="L899" s="541">
        <f t="shared" si="128"/>
      </c>
      <c r="M899" s="542"/>
      <c r="N899" s="544">
        <v>0</v>
      </c>
      <c r="O899" s="542"/>
      <c r="P899" s="545">
        <f>BOKFØRT!C899</f>
        <v>0</v>
      </c>
      <c r="Q899" s="583">
        <f t="shared" si="129"/>
        <v>0</v>
      </c>
      <c r="R899" s="199"/>
      <c r="S899" s="199"/>
    </row>
    <row r="900" spans="1:19" s="1" customFormat="1" ht="12.75">
      <c r="A900" s="395">
        <v>618686</v>
      </c>
      <c r="B900" s="408" t="s">
        <v>649</v>
      </c>
      <c r="C900" s="397"/>
      <c r="D900" s="436"/>
      <c r="E900" s="436"/>
      <c r="F900" s="418"/>
      <c r="G900" s="544">
        <f t="shared" si="130"/>
        <v>0</v>
      </c>
      <c r="H900" s="414"/>
      <c r="I900" s="540"/>
      <c r="J900" s="540"/>
      <c r="K900" s="403"/>
      <c r="L900" s="541">
        <f t="shared" si="128"/>
      </c>
      <c r="M900" s="542"/>
      <c r="N900" s="544">
        <v>0</v>
      </c>
      <c r="O900" s="542"/>
      <c r="P900" s="545">
        <f>BOKFØRT!C900</f>
        <v>0</v>
      </c>
      <c r="Q900" s="583">
        <f t="shared" si="129"/>
        <v>0</v>
      </c>
      <c r="R900" s="199"/>
      <c r="S900" s="199"/>
    </row>
    <row r="901" spans="1:19" s="1" customFormat="1" ht="12.75">
      <c r="A901" s="395">
        <v>618687</v>
      </c>
      <c r="B901" s="408" t="s">
        <v>375</v>
      </c>
      <c r="C901" s="397"/>
      <c r="D901" s="436"/>
      <c r="E901" s="436"/>
      <c r="F901" s="418"/>
      <c r="G901" s="544">
        <f t="shared" si="130"/>
        <v>0</v>
      </c>
      <c r="H901" s="414"/>
      <c r="I901" s="540"/>
      <c r="J901" s="540"/>
      <c r="K901" s="403"/>
      <c r="L901" s="541">
        <f t="shared" si="128"/>
      </c>
      <c r="M901" s="542"/>
      <c r="N901" s="544">
        <v>0</v>
      </c>
      <c r="O901" s="542"/>
      <c r="P901" s="545">
        <f>BOKFØRT!C901</f>
        <v>0</v>
      </c>
      <c r="Q901" s="583">
        <f t="shared" si="129"/>
        <v>0</v>
      </c>
      <c r="R901" s="199"/>
      <c r="S901" s="199"/>
    </row>
    <row r="902" spans="1:19" s="1" customFormat="1" ht="12.75">
      <c r="A902" s="395">
        <v>618688</v>
      </c>
      <c r="B902" s="408" t="s">
        <v>376</v>
      </c>
      <c r="C902" s="397"/>
      <c r="D902" s="436"/>
      <c r="E902" s="436"/>
      <c r="F902" s="418"/>
      <c r="G902" s="544">
        <f t="shared" si="130"/>
        <v>0</v>
      </c>
      <c r="H902" s="414"/>
      <c r="I902" s="540"/>
      <c r="J902" s="540"/>
      <c r="K902" s="403"/>
      <c r="L902" s="541">
        <f t="shared" si="128"/>
      </c>
      <c r="M902" s="542"/>
      <c r="N902" s="544">
        <v>0</v>
      </c>
      <c r="O902" s="542"/>
      <c r="P902" s="545">
        <f>BOKFØRT!C902</f>
        <v>0</v>
      </c>
      <c r="Q902" s="583">
        <f t="shared" si="129"/>
        <v>0</v>
      </c>
      <c r="R902" s="199"/>
      <c r="S902" s="199"/>
    </row>
    <row r="903" spans="1:19" s="1" customFormat="1" ht="12.75">
      <c r="A903" s="395">
        <v>618689</v>
      </c>
      <c r="B903" s="408" t="s">
        <v>377</v>
      </c>
      <c r="C903" s="397"/>
      <c r="D903" s="436"/>
      <c r="E903" s="436"/>
      <c r="F903" s="418"/>
      <c r="G903" s="544">
        <f t="shared" si="130"/>
        <v>0</v>
      </c>
      <c r="H903" s="414"/>
      <c r="I903" s="540"/>
      <c r="J903" s="540"/>
      <c r="K903" s="403"/>
      <c r="L903" s="541">
        <f t="shared" si="128"/>
      </c>
      <c r="M903" s="542"/>
      <c r="N903" s="544">
        <v>0</v>
      </c>
      <c r="O903" s="542"/>
      <c r="P903" s="545">
        <f>BOKFØRT!C903</f>
        <v>0</v>
      </c>
      <c r="Q903" s="583">
        <f t="shared" si="129"/>
        <v>0</v>
      </c>
      <c r="R903" s="199"/>
      <c r="S903" s="199"/>
    </row>
    <row r="904" spans="1:19" s="1" customFormat="1" ht="12.75">
      <c r="A904" s="395">
        <v>618725</v>
      </c>
      <c r="B904" s="408" t="s">
        <v>747</v>
      </c>
      <c r="C904" s="397"/>
      <c r="D904" s="436"/>
      <c r="E904" s="436"/>
      <c r="F904" s="418"/>
      <c r="G904" s="544">
        <f t="shared" si="130"/>
        <v>0</v>
      </c>
      <c r="H904" s="414"/>
      <c r="I904" s="540"/>
      <c r="J904" s="540"/>
      <c r="K904" s="403"/>
      <c r="L904" s="541">
        <f t="shared" si="128"/>
      </c>
      <c r="M904" s="542"/>
      <c r="N904" s="544">
        <v>0</v>
      </c>
      <c r="O904" s="542"/>
      <c r="P904" s="545">
        <f>BOKFØRT!C904</f>
        <v>0</v>
      </c>
      <c r="Q904" s="583">
        <f>G904+N904+P904</f>
        <v>0</v>
      </c>
      <c r="R904" s="199"/>
      <c r="S904" s="199"/>
    </row>
    <row r="905" spans="1:19" s="1" customFormat="1" ht="12.75">
      <c r="A905" s="395">
        <v>618726</v>
      </c>
      <c r="B905" s="408" t="s">
        <v>748</v>
      </c>
      <c r="C905" s="397"/>
      <c r="D905" s="436"/>
      <c r="E905" s="436"/>
      <c r="F905" s="418"/>
      <c r="G905" s="544">
        <f t="shared" si="130"/>
        <v>0</v>
      </c>
      <c r="H905" s="414"/>
      <c r="I905" s="540"/>
      <c r="J905" s="540"/>
      <c r="K905" s="403"/>
      <c r="L905" s="541">
        <f t="shared" si="128"/>
      </c>
      <c r="M905" s="542"/>
      <c r="N905" s="544">
        <v>0</v>
      </c>
      <c r="O905" s="542"/>
      <c r="P905" s="545">
        <f>BOKFØRT!C905</f>
        <v>0</v>
      </c>
      <c r="Q905" s="583">
        <f>G905+N905+P905</f>
        <v>0</v>
      </c>
      <c r="R905" s="199"/>
      <c r="S905" s="199"/>
    </row>
    <row r="906" spans="1:19" s="1" customFormat="1" ht="12.75">
      <c r="A906" s="395">
        <v>618727</v>
      </c>
      <c r="B906" s="408" t="s">
        <v>749</v>
      </c>
      <c r="C906" s="397"/>
      <c r="D906" s="436"/>
      <c r="E906" s="436"/>
      <c r="F906" s="418"/>
      <c r="G906" s="544">
        <f t="shared" si="130"/>
        <v>0</v>
      </c>
      <c r="H906" s="414"/>
      <c r="I906" s="540"/>
      <c r="J906" s="540"/>
      <c r="K906" s="403"/>
      <c r="L906" s="541">
        <f t="shared" si="128"/>
      </c>
      <c r="M906" s="542"/>
      <c r="N906" s="544">
        <v>0</v>
      </c>
      <c r="O906" s="542"/>
      <c r="P906" s="545">
        <f>BOKFØRT!C906</f>
        <v>0</v>
      </c>
      <c r="Q906" s="583">
        <f>G906+N906+P906</f>
        <v>0</v>
      </c>
      <c r="R906" s="199"/>
      <c r="S906" s="199"/>
    </row>
    <row r="907" spans="1:19" s="1" customFormat="1" ht="12.75">
      <c r="A907" s="395">
        <v>619010</v>
      </c>
      <c r="B907" s="408" t="s">
        <v>556</v>
      </c>
      <c r="C907" s="397"/>
      <c r="D907" s="436"/>
      <c r="E907" s="436"/>
      <c r="F907" s="418"/>
      <c r="G907" s="544">
        <f t="shared" si="130"/>
        <v>0</v>
      </c>
      <c r="H907" s="414"/>
      <c r="I907" s="540"/>
      <c r="J907" s="540"/>
      <c r="K907" s="403"/>
      <c r="L907" s="541">
        <f t="shared" si="128"/>
      </c>
      <c r="M907" s="542"/>
      <c r="N907" s="544">
        <v>0</v>
      </c>
      <c r="O907" s="542"/>
      <c r="P907" s="545">
        <f>BOKFØRT!C907</f>
        <v>0</v>
      </c>
      <c r="Q907" s="583">
        <f t="shared" si="129"/>
        <v>0</v>
      </c>
      <c r="R907" s="199"/>
      <c r="S907" s="199"/>
    </row>
    <row r="908" spans="1:19" s="1" customFormat="1" ht="12.75">
      <c r="A908" s="395">
        <v>619020</v>
      </c>
      <c r="B908" s="408" t="s">
        <v>13</v>
      </c>
      <c r="C908" s="397"/>
      <c r="D908" s="436"/>
      <c r="E908" s="436"/>
      <c r="F908" s="418"/>
      <c r="G908" s="544">
        <f t="shared" si="130"/>
        <v>0</v>
      </c>
      <c r="H908" s="414"/>
      <c r="I908" s="540"/>
      <c r="J908" s="540"/>
      <c r="K908" s="403"/>
      <c r="L908" s="541">
        <f t="shared" si="128"/>
      </c>
      <c r="M908" s="542"/>
      <c r="N908" s="544">
        <v>0</v>
      </c>
      <c r="O908" s="542"/>
      <c r="P908" s="545">
        <f>BOKFØRT!C908</f>
        <v>0</v>
      </c>
      <c r="Q908" s="583">
        <f t="shared" si="129"/>
        <v>0</v>
      </c>
      <c r="R908" s="199"/>
      <c r="S908" s="199"/>
    </row>
    <row r="909" spans="1:19" s="1" customFormat="1" ht="12.75">
      <c r="A909" s="395">
        <v>619021</v>
      </c>
      <c r="B909" s="408" t="s">
        <v>14</v>
      </c>
      <c r="C909" s="397"/>
      <c r="D909" s="436"/>
      <c r="E909" s="436"/>
      <c r="F909" s="418"/>
      <c r="G909" s="544">
        <f t="shared" si="130"/>
        <v>0</v>
      </c>
      <c r="H909" s="414"/>
      <c r="I909" s="540"/>
      <c r="J909" s="540"/>
      <c r="K909" s="403"/>
      <c r="L909" s="541">
        <f t="shared" si="128"/>
      </c>
      <c r="M909" s="542"/>
      <c r="N909" s="544">
        <v>0</v>
      </c>
      <c r="O909" s="542"/>
      <c r="P909" s="545">
        <f>BOKFØRT!C909</f>
        <v>0</v>
      </c>
      <c r="Q909" s="583">
        <f t="shared" si="129"/>
        <v>0</v>
      </c>
      <c r="R909" s="199"/>
      <c r="S909" s="199"/>
    </row>
    <row r="910" spans="1:19" s="1" customFormat="1" ht="12.75">
      <c r="A910" s="395">
        <v>619022</v>
      </c>
      <c r="B910" s="408" t="s">
        <v>558</v>
      </c>
      <c r="C910" s="397"/>
      <c r="D910" s="436"/>
      <c r="E910" s="436"/>
      <c r="F910" s="418"/>
      <c r="G910" s="544">
        <f t="shared" si="130"/>
        <v>0</v>
      </c>
      <c r="H910" s="414"/>
      <c r="I910" s="540"/>
      <c r="J910" s="540"/>
      <c r="K910" s="403"/>
      <c r="L910" s="541">
        <f t="shared" si="128"/>
      </c>
      <c r="M910" s="542"/>
      <c r="N910" s="544">
        <v>0</v>
      </c>
      <c r="O910" s="542"/>
      <c r="P910" s="545">
        <f>BOKFØRT!C910</f>
        <v>0</v>
      </c>
      <c r="Q910" s="583">
        <f t="shared" si="129"/>
        <v>0</v>
      </c>
      <c r="R910" s="199"/>
      <c r="S910" s="199"/>
    </row>
    <row r="911" spans="1:19" s="1" customFormat="1" ht="12.75">
      <c r="A911" s="395">
        <v>619023</v>
      </c>
      <c r="B911" s="408" t="s">
        <v>559</v>
      </c>
      <c r="C911" s="397"/>
      <c r="D911" s="436"/>
      <c r="E911" s="436"/>
      <c r="F911" s="418"/>
      <c r="G911" s="544">
        <f t="shared" si="130"/>
        <v>0</v>
      </c>
      <c r="H911" s="414"/>
      <c r="I911" s="540"/>
      <c r="J911" s="540"/>
      <c r="K911" s="403"/>
      <c r="L911" s="541">
        <f t="shared" si="128"/>
      </c>
      <c r="M911" s="542"/>
      <c r="N911" s="544">
        <v>0</v>
      </c>
      <c r="O911" s="542"/>
      <c r="P911" s="545">
        <f>BOKFØRT!C911</f>
        <v>0</v>
      </c>
      <c r="Q911" s="583">
        <f t="shared" si="129"/>
        <v>0</v>
      </c>
      <c r="R911" s="199"/>
      <c r="S911" s="199"/>
    </row>
    <row r="912" spans="1:19" s="1" customFormat="1" ht="12.75">
      <c r="A912" s="395">
        <v>619025</v>
      </c>
      <c r="B912" s="408" t="s">
        <v>560</v>
      </c>
      <c r="C912" s="397"/>
      <c r="D912" s="436"/>
      <c r="E912" s="436"/>
      <c r="F912" s="418"/>
      <c r="G912" s="544">
        <f t="shared" si="130"/>
        <v>0</v>
      </c>
      <c r="H912" s="414"/>
      <c r="I912" s="540"/>
      <c r="J912" s="540"/>
      <c r="K912" s="403"/>
      <c r="L912" s="541">
        <f t="shared" si="128"/>
      </c>
      <c r="M912" s="542"/>
      <c r="N912" s="544">
        <v>0</v>
      </c>
      <c r="O912" s="542"/>
      <c r="P912" s="545">
        <f>BOKFØRT!C912</f>
        <v>0</v>
      </c>
      <c r="Q912" s="583">
        <f t="shared" si="129"/>
        <v>0</v>
      </c>
      <c r="R912" s="199"/>
      <c r="S912" s="199"/>
    </row>
    <row r="913" spans="1:19" s="1" customFormat="1" ht="12.75">
      <c r="A913" s="395">
        <v>619029</v>
      </c>
      <c r="B913" s="408" t="s">
        <v>561</v>
      </c>
      <c r="C913" s="397"/>
      <c r="D913" s="436"/>
      <c r="E913" s="436"/>
      <c r="F913" s="418"/>
      <c r="G913" s="544">
        <f aca="true" t="shared" si="131" ref="G913:G929">IF(X=0,(IF(Me=0,Sa,Me*Sa)),(IF(Me=0,Sa*X,Me*X*Sa)))</f>
        <v>0</v>
      </c>
      <c r="H913" s="414"/>
      <c r="I913" s="540"/>
      <c r="J913" s="540"/>
      <c r="K913" s="403"/>
      <c r="L913" s="541">
        <f t="shared" si="128"/>
      </c>
      <c r="M913" s="542"/>
      <c r="N913" s="544">
        <v>0</v>
      </c>
      <c r="O913" s="542"/>
      <c r="P913" s="545">
        <f>BOKFØRT!C913</f>
        <v>0</v>
      </c>
      <c r="Q913" s="583">
        <f t="shared" si="129"/>
        <v>0</v>
      </c>
      <c r="R913" s="199"/>
      <c r="S913" s="199"/>
    </row>
    <row r="914" spans="1:19" s="1" customFormat="1" ht="12.75">
      <c r="A914" s="395">
        <v>619030</v>
      </c>
      <c r="B914" s="408" t="s">
        <v>594</v>
      </c>
      <c r="C914" s="397"/>
      <c r="D914" s="436"/>
      <c r="E914" s="436"/>
      <c r="F914" s="418"/>
      <c r="G914" s="544">
        <f t="shared" si="131"/>
        <v>0</v>
      </c>
      <c r="H914" s="414"/>
      <c r="I914" s="540"/>
      <c r="J914" s="540"/>
      <c r="K914" s="403"/>
      <c r="L914" s="541">
        <f t="shared" si="128"/>
      </c>
      <c r="M914" s="542"/>
      <c r="N914" s="544">
        <v>0</v>
      </c>
      <c r="O914" s="542"/>
      <c r="P914" s="545">
        <f>BOKFØRT!C914</f>
        <v>0</v>
      </c>
      <c r="Q914" s="583">
        <f t="shared" si="129"/>
        <v>0</v>
      </c>
      <c r="R914" s="199"/>
      <c r="S914" s="199"/>
    </row>
    <row r="915" spans="1:19" s="1" customFormat="1" ht="12.75">
      <c r="A915" s="395">
        <v>619064</v>
      </c>
      <c r="B915" s="408" t="s">
        <v>21</v>
      </c>
      <c r="C915" s="397"/>
      <c r="D915" s="436"/>
      <c r="E915" s="436"/>
      <c r="F915" s="418"/>
      <c r="G915" s="544">
        <f t="shared" si="131"/>
        <v>0</v>
      </c>
      <c r="H915" s="414"/>
      <c r="I915" s="540"/>
      <c r="J915" s="540"/>
      <c r="K915" s="403"/>
      <c r="L915" s="541">
        <f t="shared" si="128"/>
      </c>
      <c r="M915" s="542"/>
      <c r="N915" s="544">
        <v>0</v>
      </c>
      <c r="O915" s="542"/>
      <c r="P915" s="545">
        <f>BOKFØRT!C915</f>
        <v>0</v>
      </c>
      <c r="Q915" s="583">
        <f t="shared" si="129"/>
        <v>0</v>
      </c>
      <c r="R915" s="199"/>
      <c r="S915" s="199"/>
    </row>
    <row r="916" spans="1:19" s="1" customFormat="1" ht="12.75">
      <c r="A916" s="395">
        <v>619069</v>
      </c>
      <c r="B916" s="408" t="s">
        <v>564</v>
      </c>
      <c r="C916" s="397" t="s">
        <v>416</v>
      </c>
      <c r="D916" s="436"/>
      <c r="E916" s="436"/>
      <c r="F916" s="418"/>
      <c r="G916" s="544">
        <f t="shared" si="131"/>
        <v>0</v>
      </c>
      <c r="H916" s="414"/>
      <c r="I916" s="540"/>
      <c r="J916" s="540"/>
      <c r="K916" s="403"/>
      <c r="L916" s="541">
        <f t="shared" si="128"/>
      </c>
      <c r="M916" s="542"/>
      <c r="N916" s="544">
        <v>0</v>
      </c>
      <c r="O916" s="542"/>
      <c r="P916" s="545">
        <f>BOKFØRT!C916</f>
        <v>0</v>
      </c>
      <c r="Q916" s="583">
        <f t="shared" si="129"/>
        <v>0</v>
      </c>
      <c r="R916" s="199"/>
      <c r="S916" s="199"/>
    </row>
    <row r="917" spans="1:19" s="1" customFormat="1" ht="12.75">
      <c r="A917" s="395">
        <v>619070</v>
      </c>
      <c r="B917" s="408" t="s">
        <v>565</v>
      </c>
      <c r="C917" s="397"/>
      <c r="D917" s="436"/>
      <c r="E917" s="436"/>
      <c r="F917" s="418"/>
      <c r="G917" s="544">
        <f t="shared" si="131"/>
        <v>0</v>
      </c>
      <c r="H917" s="414"/>
      <c r="I917" s="540"/>
      <c r="J917" s="540"/>
      <c r="K917" s="403"/>
      <c r="L917" s="541">
        <f t="shared" si="128"/>
      </c>
      <c r="M917" s="542"/>
      <c r="N917" s="544">
        <v>0</v>
      </c>
      <c r="O917" s="542"/>
      <c r="P917" s="545">
        <f>BOKFØRT!C917</f>
        <v>0</v>
      </c>
      <c r="Q917" s="583">
        <f t="shared" si="129"/>
        <v>0</v>
      </c>
      <c r="R917" s="199"/>
      <c r="S917" s="199"/>
    </row>
    <row r="918" spans="1:19" s="1" customFormat="1" ht="12.75">
      <c r="A918" s="395">
        <v>619072</v>
      </c>
      <c r="B918" s="408" t="s">
        <v>566</v>
      </c>
      <c r="C918" s="397"/>
      <c r="D918" s="436"/>
      <c r="E918" s="436"/>
      <c r="F918" s="418"/>
      <c r="G918" s="544">
        <f t="shared" si="131"/>
        <v>0</v>
      </c>
      <c r="H918" s="414"/>
      <c r="I918" s="540"/>
      <c r="J918" s="540"/>
      <c r="K918" s="403"/>
      <c r="L918" s="541">
        <f t="shared" si="128"/>
      </c>
      <c r="M918" s="542"/>
      <c r="N918" s="544">
        <v>0</v>
      </c>
      <c r="O918" s="542"/>
      <c r="P918" s="545">
        <f>BOKFØRT!C918</f>
        <v>0</v>
      </c>
      <c r="Q918" s="583">
        <f t="shared" si="129"/>
        <v>0</v>
      </c>
      <c r="R918" s="199"/>
      <c r="S918" s="199"/>
    </row>
    <row r="919" spans="1:19" s="1" customFormat="1" ht="12.75">
      <c r="A919" s="395">
        <v>619073</v>
      </c>
      <c r="B919" s="408" t="s">
        <v>567</v>
      </c>
      <c r="C919" s="397"/>
      <c r="D919" s="436"/>
      <c r="E919" s="436"/>
      <c r="F919" s="418"/>
      <c r="G919" s="544">
        <f t="shared" si="131"/>
        <v>0</v>
      </c>
      <c r="H919" s="414"/>
      <c r="I919" s="540"/>
      <c r="J919" s="540"/>
      <c r="K919" s="403"/>
      <c r="L919" s="541">
        <f t="shared" si="128"/>
      </c>
      <c r="M919" s="542"/>
      <c r="N919" s="544">
        <v>0</v>
      </c>
      <c r="O919" s="542"/>
      <c r="P919" s="545">
        <f>BOKFØRT!C919</f>
        <v>0</v>
      </c>
      <c r="Q919" s="583">
        <f t="shared" si="129"/>
        <v>0</v>
      </c>
      <c r="R919" s="199"/>
      <c r="S919" s="199"/>
    </row>
    <row r="920" spans="1:19" s="1" customFormat="1" ht="12.75">
      <c r="A920" s="395">
        <v>619077</v>
      </c>
      <c r="B920" s="408" t="s">
        <v>598</v>
      </c>
      <c r="C920" s="397"/>
      <c r="D920" s="436"/>
      <c r="E920" s="436"/>
      <c r="F920" s="418"/>
      <c r="G920" s="544">
        <f t="shared" si="131"/>
        <v>0</v>
      </c>
      <c r="H920" s="414"/>
      <c r="I920" s="540"/>
      <c r="J920" s="540"/>
      <c r="K920" s="403"/>
      <c r="L920" s="541">
        <f t="shared" si="128"/>
      </c>
      <c r="M920" s="542"/>
      <c r="N920" s="544">
        <v>0</v>
      </c>
      <c r="O920" s="542"/>
      <c r="P920" s="545">
        <f>BOKFØRT!C920</f>
        <v>0</v>
      </c>
      <c r="Q920" s="583">
        <f t="shared" si="129"/>
        <v>0</v>
      </c>
      <c r="R920" s="199"/>
      <c r="S920" s="199"/>
    </row>
    <row r="921" spans="1:19" s="1" customFormat="1" ht="12.75">
      <c r="A921" s="395">
        <v>619078</v>
      </c>
      <c r="B921" s="408" t="s">
        <v>568</v>
      </c>
      <c r="C921" s="397"/>
      <c r="D921" s="436"/>
      <c r="E921" s="436"/>
      <c r="F921" s="418"/>
      <c r="G921" s="544">
        <f t="shared" si="131"/>
        <v>0</v>
      </c>
      <c r="H921" s="414"/>
      <c r="I921" s="540"/>
      <c r="J921" s="540"/>
      <c r="K921" s="403"/>
      <c r="L921" s="541">
        <f t="shared" si="128"/>
      </c>
      <c r="M921" s="542"/>
      <c r="N921" s="544">
        <v>0</v>
      </c>
      <c r="O921" s="542"/>
      <c r="P921" s="545">
        <f>BOKFØRT!C921</f>
        <v>0</v>
      </c>
      <c r="Q921" s="583">
        <f t="shared" si="129"/>
        <v>0</v>
      </c>
      <c r="R921" s="199"/>
      <c r="S921" s="199"/>
    </row>
    <row r="922" spans="1:19" s="1" customFormat="1" ht="12.75">
      <c r="A922" s="395">
        <v>619081</v>
      </c>
      <c r="B922" s="408" t="s">
        <v>599</v>
      </c>
      <c r="C922" s="397"/>
      <c r="D922" s="436"/>
      <c r="E922" s="436"/>
      <c r="F922" s="418"/>
      <c r="G922" s="544">
        <f t="shared" si="131"/>
        <v>0</v>
      </c>
      <c r="H922" s="414"/>
      <c r="I922" s="540"/>
      <c r="J922" s="540"/>
      <c r="K922" s="403"/>
      <c r="L922" s="541">
        <f t="shared" si="128"/>
      </c>
      <c r="M922" s="542"/>
      <c r="N922" s="544">
        <v>0</v>
      </c>
      <c r="O922" s="542"/>
      <c r="P922" s="545">
        <f>BOKFØRT!C922</f>
        <v>0</v>
      </c>
      <c r="Q922" s="583">
        <f t="shared" si="129"/>
        <v>0</v>
      </c>
      <c r="R922" s="199"/>
      <c r="S922" s="199"/>
    </row>
    <row r="923" spans="1:19" s="1" customFormat="1" ht="12.75">
      <c r="A923" s="395">
        <v>619082</v>
      </c>
      <c r="B923" s="408" t="s">
        <v>600</v>
      </c>
      <c r="C923" s="397"/>
      <c r="D923" s="436"/>
      <c r="E923" s="436"/>
      <c r="F923" s="418"/>
      <c r="G923" s="544">
        <f t="shared" si="131"/>
        <v>0</v>
      </c>
      <c r="H923" s="414"/>
      <c r="I923" s="540"/>
      <c r="J923" s="540"/>
      <c r="K923" s="403"/>
      <c r="L923" s="541">
        <f t="shared" si="128"/>
      </c>
      <c r="M923" s="542"/>
      <c r="N923" s="544">
        <v>0</v>
      </c>
      <c r="O923" s="542"/>
      <c r="P923" s="545">
        <f>BOKFØRT!C923</f>
        <v>0</v>
      </c>
      <c r="Q923" s="583">
        <f t="shared" si="129"/>
        <v>0</v>
      </c>
      <c r="R923" s="199"/>
      <c r="S923" s="199"/>
    </row>
    <row r="924" spans="1:19" s="1" customFormat="1" ht="12.75">
      <c r="A924" s="395">
        <v>619083</v>
      </c>
      <c r="B924" s="408" t="s">
        <v>601</v>
      </c>
      <c r="C924" s="397"/>
      <c r="D924" s="436"/>
      <c r="E924" s="436"/>
      <c r="F924" s="418"/>
      <c r="G924" s="544">
        <f t="shared" si="131"/>
        <v>0</v>
      </c>
      <c r="H924" s="414"/>
      <c r="I924" s="540"/>
      <c r="J924" s="540"/>
      <c r="K924" s="403"/>
      <c r="L924" s="541">
        <f t="shared" si="128"/>
      </c>
      <c r="M924" s="542"/>
      <c r="N924" s="544">
        <v>0</v>
      </c>
      <c r="O924" s="542"/>
      <c r="P924" s="545">
        <f>BOKFØRT!C924</f>
        <v>0</v>
      </c>
      <c r="Q924" s="583">
        <f t="shared" si="129"/>
        <v>0</v>
      </c>
      <c r="R924" s="199"/>
      <c r="S924" s="199"/>
    </row>
    <row r="925" spans="1:19" s="1" customFormat="1" ht="12.75">
      <c r="A925" s="395">
        <v>619084</v>
      </c>
      <c r="B925" s="408" t="s">
        <v>602</v>
      </c>
      <c r="C925" s="397"/>
      <c r="D925" s="436"/>
      <c r="E925" s="436"/>
      <c r="F925" s="418"/>
      <c r="G925" s="544">
        <f t="shared" si="131"/>
        <v>0</v>
      </c>
      <c r="H925" s="414"/>
      <c r="I925" s="540"/>
      <c r="J925" s="540"/>
      <c r="K925" s="403"/>
      <c r="L925" s="541">
        <f t="shared" si="128"/>
      </c>
      <c r="M925" s="542"/>
      <c r="N925" s="544">
        <v>0</v>
      </c>
      <c r="O925" s="542"/>
      <c r="P925" s="545">
        <f>BOKFØRT!C925</f>
        <v>0</v>
      </c>
      <c r="Q925" s="583">
        <f t="shared" si="129"/>
        <v>0</v>
      </c>
      <c r="R925" s="199"/>
      <c r="S925" s="199"/>
    </row>
    <row r="926" spans="1:19" s="1" customFormat="1" ht="12.75">
      <c r="A926" s="395">
        <v>619085</v>
      </c>
      <c r="B926" s="408" t="s">
        <v>603</v>
      </c>
      <c r="C926" s="397"/>
      <c r="D926" s="436"/>
      <c r="E926" s="436"/>
      <c r="F926" s="418"/>
      <c r="G926" s="544">
        <f t="shared" si="131"/>
        <v>0</v>
      </c>
      <c r="H926" s="414"/>
      <c r="I926" s="540"/>
      <c r="J926" s="540"/>
      <c r="K926" s="403"/>
      <c r="L926" s="541">
        <f t="shared" si="128"/>
      </c>
      <c r="M926" s="542"/>
      <c r="N926" s="544">
        <v>0</v>
      </c>
      <c r="O926" s="542"/>
      <c r="P926" s="545">
        <f>BOKFØRT!C926</f>
        <v>0</v>
      </c>
      <c r="Q926" s="583">
        <f t="shared" si="129"/>
        <v>0</v>
      </c>
      <c r="R926" s="199"/>
      <c r="S926" s="199"/>
    </row>
    <row r="927" spans="1:19" s="1" customFormat="1" ht="12.75">
      <c r="A927" s="395">
        <v>619090</v>
      </c>
      <c r="B927" s="408" t="s">
        <v>604</v>
      </c>
      <c r="C927" s="397"/>
      <c r="D927" s="436"/>
      <c r="E927" s="436"/>
      <c r="F927" s="418"/>
      <c r="G927" s="544">
        <f t="shared" si="131"/>
        <v>0</v>
      </c>
      <c r="H927" s="414"/>
      <c r="I927" s="540"/>
      <c r="J927" s="540"/>
      <c r="K927" s="403"/>
      <c r="L927" s="541">
        <f t="shared" si="128"/>
      </c>
      <c r="M927" s="542"/>
      <c r="N927" s="544">
        <v>0</v>
      </c>
      <c r="O927" s="542"/>
      <c r="P927" s="545">
        <f>BOKFØRT!C927</f>
        <v>0</v>
      </c>
      <c r="Q927" s="583">
        <f t="shared" si="129"/>
        <v>0</v>
      </c>
      <c r="R927" s="199"/>
      <c r="S927" s="199"/>
    </row>
    <row r="928" spans="1:19" s="1" customFormat="1" ht="12.75">
      <c r="A928" s="395">
        <v>619093</v>
      </c>
      <c r="B928" s="408" t="s">
        <v>569</v>
      </c>
      <c r="C928" s="397"/>
      <c r="D928" s="436"/>
      <c r="E928" s="436"/>
      <c r="F928" s="418"/>
      <c r="G928" s="544">
        <f t="shared" si="131"/>
        <v>0</v>
      </c>
      <c r="H928" s="414"/>
      <c r="I928" s="540"/>
      <c r="J928" s="540"/>
      <c r="K928" s="403"/>
      <c r="L928" s="541">
        <f t="shared" si="128"/>
      </c>
      <c r="M928" s="542"/>
      <c r="N928" s="544">
        <v>0</v>
      </c>
      <c r="O928" s="542"/>
      <c r="P928" s="545">
        <f>BOKFØRT!C928</f>
        <v>0</v>
      </c>
      <c r="Q928" s="583">
        <f t="shared" si="129"/>
        <v>0</v>
      </c>
      <c r="R928" s="199"/>
      <c r="S928" s="199"/>
    </row>
    <row r="929" spans="1:19" s="1" customFormat="1" ht="12.75">
      <c r="A929" s="395">
        <v>619098</v>
      </c>
      <c r="B929" s="420" t="s">
        <v>25</v>
      </c>
      <c r="C929" s="421"/>
      <c r="D929" s="422"/>
      <c r="E929" s="422"/>
      <c r="F929" s="423"/>
      <c r="G929" s="548">
        <f t="shared" si="131"/>
        <v>0</v>
      </c>
      <c r="H929" s="414"/>
      <c r="I929" s="540"/>
      <c r="J929" s="540"/>
      <c r="K929" s="403"/>
      <c r="L929" s="541">
        <f t="shared" si="128"/>
      </c>
      <c r="M929" s="542"/>
      <c r="N929" s="548">
        <v>0</v>
      </c>
      <c r="O929" s="542"/>
      <c r="P929" s="550">
        <f>BOKFØRT!C929</f>
        <v>0</v>
      </c>
      <c r="Q929" s="583">
        <f t="shared" si="129"/>
        <v>0</v>
      </c>
      <c r="R929" s="199"/>
      <c r="S929" s="199"/>
    </row>
    <row r="930" spans="1:19" s="1" customFormat="1" ht="13.5" thickBot="1">
      <c r="A930" s="445" t="s">
        <v>401</v>
      </c>
      <c r="B930" s="426"/>
      <c r="C930" s="451"/>
      <c r="D930" s="433"/>
      <c r="E930" s="434"/>
      <c r="F930" s="448" t="s">
        <v>570</v>
      </c>
      <c r="G930" s="558">
        <f>SUM(G874:G929)</f>
        <v>0</v>
      </c>
      <c r="H930" s="414"/>
      <c r="I930" s="555"/>
      <c r="J930" s="555"/>
      <c r="K930" s="394"/>
      <c r="L930" s="558">
        <f>SUM(L874:L929)</f>
        <v>0</v>
      </c>
      <c r="M930" s="542"/>
      <c r="N930" s="558">
        <v>0</v>
      </c>
      <c r="O930" s="542"/>
      <c r="P930" s="559">
        <f>SUM(P874:P929)</f>
        <v>0</v>
      </c>
      <c r="Q930" s="583">
        <f t="shared" si="129"/>
        <v>0</v>
      </c>
      <c r="R930" s="199"/>
      <c r="S930" s="199"/>
    </row>
    <row r="931" spans="1:19" s="1" customFormat="1" ht="0.75" customHeight="1" thickTop="1">
      <c r="A931" s="431"/>
      <c r="B931" s="432"/>
      <c r="C931" s="427"/>
      <c r="D931" s="450"/>
      <c r="E931" s="459"/>
      <c r="F931" s="460"/>
      <c r="G931" s="540"/>
      <c r="H931" s="414"/>
      <c r="I931" s="540"/>
      <c r="J931" s="540"/>
      <c r="K931" s="394"/>
      <c r="L931" s="555"/>
      <c r="M931" s="542"/>
      <c r="N931" s="540"/>
      <c r="O931" s="542"/>
      <c r="P931" s="561"/>
      <c r="Q931" s="583"/>
      <c r="R931" s="199"/>
      <c r="S931" s="199"/>
    </row>
    <row r="932" spans="1:19" s="1" customFormat="1" ht="24.75" customHeight="1" thickTop="1">
      <c r="A932" s="391" t="s">
        <v>538</v>
      </c>
      <c r="B932" s="432"/>
      <c r="C932" s="427"/>
      <c r="D932" s="511" t="s">
        <v>422</v>
      </c>
      <c r="E932" s="512" t="s">
        <v>423</v>
      </c>
      <c r="F932" s="511" t="s">
        <v>424</v>
      </c>
      <c r="G932" s="533" t="s">
        <v>425</v>
      </c>
      <c r="H932" s="414"/>
      <c r="I932" s="534" t="s">
        <v>427</v>
      </c>
      <c r="J932" s="534"/>
      <c r="K932" s="394"/>
      <c r="L932" s="533"/>
      <c r="M932" s="536"/>
      <c r="N932" s="533" t="s">
        <v>425</v>
      </c>
      <c r="O932" s="536"/>
      <c r="P932" s="533" t="s">
        <v>677</v>
      </c>
      <c r="Q932" s="583"/>
      <c r="R932" s="199"/>
      <c r="S932" s="199"/>
    </row>
    <row r="933" spans="1:19" s="1" customFormat="1" ht="12.75">
      <c r="A933" s="395">
        <v>628699</v>
      </c>
      <c r="B933" s="420" t="s">
        <v>382</v>
      </c>
      <c r="C933" s="462">
        <f>IF(H2&gt;F933,F933/(H2-F933),"")</f>
      </c>
      <c r="D933" s="422"/>
      <c r="E933" s="422"/>
      <c r="F933" s="423">
        <f>RAPPORT!M35</f>
        <v>0</v>
      </c>
      <c r="G933" s="548">
        <f>IF(X=0,(IF(Me=0,Sa,Me*Sa)),(IF(Me=0,Sa*X,Me*X*Sa)))</f>
        <v>0</v>
      </c>
      <c r="H933" s="414"/>
      <c r="I933" s="540"/>
      <c r="J933" s="540"/>
      <c r="K933" s="394"/>
      <c r="L933" s="540"/>
      <c r="M933" s="542"/>
      <c r="N933" s="567">
        <v>0</v>
      </c>
      <c r="O933" s="542"/>
      <c r="P933" s="568">
        <f>BOKFØRT!C933</f>
        <v>0</v>
      </c>
      <c r="Q933" s="583">
        <f>G933+N933+P933</f>
        <v>0</v>
      </c>
      <c r="R933" s="199"/>
      <c r="S933" s="199"/>
    </row>
    <row r="934" spans="1:19" s="1" customFormat="1" ht="13.5" thickBot="1">
      <c r="A934" s="445" t="s">
        <v>401</v>
      </c>
      <c r="B934" s="426"/>
      <c r="C934" s="451"/>
      <c r="D934" s="433"/>
      <c r="E934" s="434"/>
      <c r="F934" s="448" t="s">
        <v>570</v>
      </c>
      <c r="G934" s="558">
        <f>SUM(G933:G933)</f>
        <v>0</v>
      </c>
      <c r="H934" s="414"/>
      <c r="I934" s="555"/>
      <c r="J934" s="555"/>
      <c r="K934" s="394"/>
      <c r="L934" s="540"/>
      <c r="M934" s="542"/>
      <c r="N934" s="558">
        <v>0</v>
      </c>
      <c r="O934" s="542"/>
      <c r="P934" s="559">
        <f>SUM(P933:P933)</f>
        <v>0</v>
      </c>
      <c r="Q934" s="583">
        <f>G934+N934+P934</f>
        <v>0</v>
      </c>
      <c r="R934" s="199"/>
      <c r="S934" s="199"/>
    </row>
    <row r="935" spans="1:19" s="1" customFormat="1" ht="0.75" customHeight="1" thickTop="1">
      <c r="A935" s="431"/>
      <c r="B935" s="463"/>
      <c r="C935" s="463"/>
      <c r="D935" s="463"/>
      <c r="E935" s="463"/>
      <c r="F935" s="463"/>
      <c r="G935" s="540"/>
      <c r="H935" s="38"/>
      <c r="I935" s="555"/>
      <c r="J935" s="555"/>
      <c r="K935" s="552"/>
      <c r="L935" s="540"/>
      <c r="M935" s="542"/>
      <c r="N935" s="540"/>
      <c r="O935" s="542"/>
      <c r="P935" s="565"/>
      <c r="Q935" s="583"/>
      <c r="R935" s="199"/>
      <c r="S935" s="199"/>
    </row>
    <row r="936" spans="1:19" s="1" customFormat="1" ht="0.75" customHeight="1">
      <c r="A936" s="464"/>
      <c r="B936" s="435"/>
      <c r="C936" s="21"/>
      <c r="D936" s="48"/>
      <c r="E936" s="64"/>
      <c r="F936" s="35"/>
      <c r="G936" s="540"/>
      <c r="H936" s="33"/>
      <c r="I936" s="555"/>
      <c r="J936" s="555"/>
      <c r="K936" s="552"/>
      <c r="L936" s="540"/>
      <c r="M936" s="542"/>
      <c r="N936" s="540"/>
      <c r="O936" s="542"/>
      <c r="P936" s="565"/>
      <c r="Q936" s="583"/>
      <c r="R936" s="199"/>
      <c r="S936" s="199"/>
    </row>
    <row r="937" spans="1:19" s="1" customFormat="1" ht="13.5" thickTop="1">
      <c r="A937" s="465"/>
      <c r="B937" s="432"/>
      <c r="C937" s="432"/>
      <c r="D937" s="432"/>
      <c r="E937" s="432"/>
      <c r="F937" s="432"/>
      <c r="G937" s="540"/>
      <c r="H937" s="458"/>
      <c r="I937" s="555"/>
      <c r="J937" s="555"/>
      <c r="K937" s="552"/>
      <c r="L937" s="540"/>
      <c r="M937" s="542"/>
      <c r="N937" s="540"/>
      <c r="O937" s="542"/>
      <c r="P937" s="565"/>
      <c r="Q937" s="583"/>
      <c r="R937" s="199"/>
      <c r="S937" s="199"/>
    </row>
    <row r="938" spans="1:19" s="1" customFormat="1" ht="12.75">
      <c r="A938" s="465"/>
      <c r="B938" s="432"/>
      <c r="C938" s="432"/>
      <c r="D938" s="432"/>
      <c r="E938" s="432"/>
      <c r="F938" s="432"/>
      <c r="G938" s="540"/>
      <c r="H938" s="458"/>
      <c r="I938" s="555"/>
      <c r="J938" s="555"/>
      <c r="K938" s="552"/>
      <c r="L938" s="540"/>
      <c r="M938" s="542"/>
      <c r="N938" s="540"/>
      <c r="O938" s="542"/>
      <c r="P938" s="565"/>
      <c r="Q938" s="583"/>
      <c r="R938" s="199"/>
      <c r="S938" s="199"/>
    </row>
    <row r="939" spans="1:19" s="1" customFormat="1" ht="12.75">
      <c r="A939" s="465"/>
      <c r="B939" s="432"/>
      <c r="C939" s="432"/>
      <c r="D939" s="432"/>
      <c r="E939" s="432"/>
      <c r="F939" s="432"/>
      <c r="G939" s="540"/>
      <c r="H939" s="458"/>
      <c r="I939" s="555"/>
      <c r="J939" s="555"/>
      <c r="K939" s="552"/>
      <c r="L939" s="540"/>
      <c r="M939" s="542"/>
      <c r="N939" s="540"/>
      <c r="O939" s="542"/>
      <c r="P939" s="565"/>
      <c r="Q939" s="583"/>
      <c r="R939" s="199"/>
      <c r="S939" s="199"/>
    </row>
    <row r="940" spans="1:19" s="1" customFormat="1" ht="12.75">
      <c r="A940" s="465"/>
      <c r="B940" s="432"/>
      <c r="C940" s="432"/>
      <c r="D940" s="432"/>
      <c r="E940" s="432"/>
      <c r="F940" s="432"/>
      <c r="G940" s="540"/>
      <c r="H940" s="458"/>
      <c r="I940" s="555"/>
      <c r="J940" s="555"/>
      <c r="K940" s="552"/>
      <c r="L940" s="540"/>
      <c r="M940" s="542"/>
      <c r="N940" s="540"/>
      <c r="O940" s="542"/>
      <c r="P940" s="565"/>
      <c r="Q940" s="583"/>
      <c r="R940" s="199"/>
      <c r="S940" s="199"/>
    </row>
    <row r="941" spans="1:19" s="1" customFormat="1" ht="12.75">
      <c r="A941" s="465" t="s">
        <v>401</v>
      </c>
      <c r="B941" s="432"/>
      <c r="C941" s="432"/>
      <c r="D941" s="432"/>
      <c r="E941" s="432"/>
      <c r="F941" s="432"/>
      <c r="G941" s="540"/>
      <c r="H941" s="458"/>
      <c r="I941" s="555"/>
      <c r="J941" s="555"/>
      <c r="K941" s="552"/>
      <c r="L941" s="555"/>
      <c r="M941" s="542"/>
      <c r="N941" s="540"/>
      <c r="O941" s="542"/>
      <c r="P941" s="565"/>
      <c r="Q941" s="583"/>
      <c r="R941" s="199"/>
      <c r="S941" s="199"/>
    </row>
    <row r="942" spans="1:19" ht="12.75">
      <c r="A942" s="466"/>
      <c r="B942" s="467"/>
      <c r="C942" s="432"/>
      <c r="D942" s="432"/>
      <c r="E942" s="432"/>
      <c r="F942" s="432"/>
      <c r="G942" s="569"/>
      <c r="H942" s="467"/>
      <c r="I942" s="569"/>
      <c r="J942" s="569"/>
      <c r="K942" s="552"/>
      <c r="L942" s="569"/>
      <c r="M942" s="542"/>
      <c r="N942" s="569"/>
      <c r="O942" s="542"/>
      <c r="P942" s="565"/>
      <c r="Q942" s="583"/>
      <c r="R942" s="199"/>
      <c r="S942" s="199"/>
    </row>
    <row r="943" spans="1:19" ht="189.75" customHeight="1">
      <c r="A943" s="225"/>
      <c r="B943" s="149"/>
      <c r="C943" s="149"/>
      <c r="D943" s="149"/>
      <c r="E943" s="149"/>
      <c r="F943" s="149"/>
      <c r="G943" s="514"/>
      <c r="H943" s="149"/>
      <c r="I943" s="514"/>
      <c r="J943" s="514"/>
      <c r="K943" s="524"/>
      <c r="L943" s="514"/>
      <c r="M943" s="514"/>
      <c r="N943" s="514"/>
      <c r="O943" s="514"/>
      <c r="P943" s="514"/>
      <c r="Q943" s="584"/>
      <c r="R943" s="149"/>
      <c r="S943" s="149"/>
    </row>
    <row r="944" spans="2:17" ht="12.75">
      <c r="B944" s="515"/>
      <c r="C944" s="516"/>
      <c r="D944" s="516"/>
      <c r="E944" s="570"/>
      <c r="F944" s="516"/>
      <c r="G944" s="531"/>
      <c r="H944" s="516"/>
      <c r="I944" s="531"/>
      <c r="J944" s="571"/>
      <c r="K944" s="287"/>
      <c r="L944" s="157"/>
      <c r="M944" s="157"/>
      <c r="N944" s="157"/>
      <c r="O944" s="157"/>
      <c r="P944" s="157"/>
      <c r="Q944" s="585"/>
    </row>
    <row r="945" spans="2:17" ht="12.75">
      <c r="B945" s="515"/>
      <c r="C945" s="516"/>
      <c r="D945" s="516"/>
      <c r="E945" s="570"/>
      <c r="F945" s="516"/>
      <c r="G945" s="531"/>
      <c r="H945" s="516"/>
      <c r="I945" s="531"/>
      <c r="J945" s="571"/>
      <c r="K945" s="287"/>
      <c r="L945" s="157"/>
      <c r="M945" s="157"/>
      <c r="N945" s="157"/>
      <c r="O945" s="157"/>
      <c r="P945" s="157"/>
      <c r="Q945" s="585"/>
    </row>
    <row r="946" spans="2:17" ht="12.75">
      <c r="B946" s="515"/>
      <c r="C946" s="516"/>
      <c r="D946" s="516"/>
      <c r="E946" s="570"/>
      <c r="F946" s="516"/>
      <c r="G946" s="531"/>
      <c r="H946" s="516"/>
      <c r="I946" s="531"/>
      <c r="J946" s="571"/>
      <c r="K946" s="287"/>
      <c r="L946" s="157"/>
      <c r="M946" s="157"/>
      <c r="N946" s="157"/>
      <c r="O946" s="157"/>
      <c r="P946" s="157"/>
      <c r="Q946" s="585"/>
    </row>
    <row r="947" spans="2:17" ht="12.75">
      <c r="B947" s="515"/>
      <c r="C947" s="516"/>
      <c r="D947" s="516"/>
      <c r="E947" s="570"/>
      <c r="F947" s="516"/>
      <c r="G947" s="531"/>
      <c r="H947" s="516"/>
      <c r="I947" s="531"/>
      <c r="J947" s="571"/>
      <c r="K947" s="287"/>
      <c r="L947" s="157"/>
      <c r="M947" s="157"/>
      <c r="N947" s="157"/>
      <c r="O947" s="157"/>
      <c r="P947" s="157"/>
      <c r="Q947" s="585"/>
    </row>
    <row r="948" spans="2:17" ht="12.75">
      <c r="B948" s="515"/>
      <c r="C948" s="516"/>
      <c r="D948" s="516"/>
      <c r="E948" s="570"/>
      <c r="F948" s="516"/>
      <c r="G948" s="531"/>
      <c r="H948" s="516"/>
      <c r="I948" s="531"/>
      <c r="J948" s="571"/>
      <c r="K948" s="287"/>
      <c r="L948" s="157"/>
      <c r="M948" s="157"/>
      <c r="N948" s="157"/>
      <c r="O948" s="157"/>
      <c r="P948" s="157"/>
      <c r="Q948" s="585"/>
    </row>
    <row r="949" spans="2:17" ht="12.75">
      <c r="B949" s="515"/>
      <c r="C949" s="516"/>
      <c r="D949" s="516"/>
      <c r="E949" s="570"/>
      <c r="F949" s="516"/>
      <c r="G949" s="531"/>
      <c r="H949" s="516"/>
      <c r="I949" s="531"/>
      <c r="J949" s="571"/>
      <c r="K949" s="287"/>
      <c r="L949" s="157"/>
      <c r="M949" s="157"/>
      <c r="N949" s="157"/>
      <c r="O949" s="157"/>
      <c r="P949" s="157"/>
      <c r="Q949" s="585"/>
    </row>
    <row r="950" spans="2:17" ht="12.75">
      <c r="B950" s="515"/>
      <c r="C950" s="516"/>
      <c r="D950" s="516"/>
      <c r="E950" s="570"/>
      <c r="F950" s="516"/>
      <c r="G950" s="531"/>
      <c r="H950" s="516"/>
      <c r="I950" s="531"/>
      <c r="J950" s="571"/>
      <c r="K950" s="287"/>
      <c r="L950" s="157"/>
      <c r="M950" s="157"/>
      <c r="N950" s="157"/>
      <c r="O950" s="157"/>
      <c r="P950" s="157"/>
      <c r="Q950" s="585"/>
    </row>
    <row r="951" spans="2:17" ht="12.75">
      <c r="B951" s="515"/>
      <c r="C951" s="516"/>
      <c r="D951" s="516"/>
      <c r="E951" s="570"/>
      <c r="F951" s="516"/>
      <c r="G951" s="531"/>
      <c r="H951" s="516"/>
      <c r="I951" s="531"/>
      <c r="J951" s="571"/>
      <c r="K951" s="287"/>
      <c r="L951" s="157"/>
      <c r="M951" s="157"/>
      <c r="N951" s="157"/>
      <c r="O951" s="157"/>
      <c r="P951" s="157"/>
      <c r="Q951" s="585"/>
    </row>
    <row r="952" spans="2:17" ht="12.75">
      <c r="B952" s="515"/>
      <c r="C952" s="516"/>
      <c r="D952" s="516"/>
      <c r="E952" s="570"/>
      <c r="F952" s="516"/>
      <c r="G952" s="531"/>
      <c r="H952" s="516"/>
      <c r="I952" s="531"/>
      <c r="J952" s="571"/>
      <c r="K952" s="287"/>
      <c r="L952" s="157"/>
      <c r="M952" s="157"/>
      <c r="N952" s="157"/>
      <c r="O952" s="157"/>
      <c r="P952" s="157"/>
      <c r="Q952" s="585"/>
    </row>
    <row r="953" spans="2:17" ht="12.75">
      <c r="B953" s="515"/>
      <c r="C953" s="516"/>
      <c r="D953" s="516"/>
      <c r="E953" s="570"/>
      <c r="F953" s="516"/>
      <c r="G953" s="531"/>
      <c r="H953" s="516"/>
      <c r="I953" s="531"/>
      <c r="J953" s="571"/>
      <c r="K953" s="287"/>
      <c r="L953" s="157"/>
      <c r="M953" s="157"/>
      <c r="N953" s="157"/>
      <c r="O953" s="157"/>
      <c r="P953" s="157"/>
      <c r="Q953" s="585"/>
    </row>
    <row r="954" spans="2:17" ht="12.75">
      <c r="B954" s="515"/>
      <c r="C954" s="516"/>
      <c r="D954" s="516"/>
      <c r="E954" s="570"/>
      <c r="F954" s="516"/>
      <c r="G954" s="531"/>
      <c r="H954" s="516"/>
      <c r="I954" s="531"/>
      <c r="J954" s="571"/>
      <c r="K954" s="287"/>
      <c r="L954" s="157"/>
      <c r="M954" s="157"/>
      <c r="N954" s="157"/>
      <c r="O954" s="157"/>
      <c r="P954" s="157"/>
      <c r="Q954" s="585"/>
    </row>
    <row r="955" spans="2:17" ht="12.75">
      <c r="B955" s="515"/>
      <c r="C955" s="516"/>
      <c r="D955" s="516"/>
      <c r="E955" s="570"/>
      <c r="F955" s="516"/>
      <c r="G955" s="531"/>
      <c r="H955" s="516"/>
      <c r="I955" s="531"/>
      <c r="J955" s="571"/>
      <c r="K955" s="287"/>
      <c r="L955" s="157"/>
      <c r="M955" s="157"/>
      <c r="N955" s="157"/>
      <c r="O955" s="157"/>
      <c r="P955" s="157"/>
      <c r="Q955" s="585"/>
    </row>
    <row r="956" spans="2:17" ht="12.75">
      <c r="B956" s="515"/>
      <c r="C956" s="516"/>
      <c r="D956" s="516"/>
      <c r="E956" s="570"/>
      <c r="F956" s="516"/>
      <c r="G956" s="531"/>
      <c r="H956" s="516"/>
      <c r="I956" s="531"/>
      <c r="J956" s="571"/>
      <c r="K956" s="287"/>
      <c r="L956" s="157"/>
      <c r="M956" s="157"/>
      <c r="N956" s="157"/>
      <c r="O956" s="157"/>
      <c r="P956" s="157"/>
      <c r="Q956" s="585"/>
    </row>
    <row r="957" spans="2:17" ht="12.75">
      <c r="B957" s="515"/>
      <c r="C957" s="516"/>
      <c r="D957" s="516"/>
      <c r="E957" s="570"/>
      <c r="F957" s="516"/>
      <c r="G957" s="531"/>
      <c r="H957" s="516"/>
      <c r="I957" s="531"/>
      <c r="J957" s="571"/>
      <c r="K957" s="287"/>
      <c r="L957" s="157"/>
      <c r="M957" s="157"/>
      <c r="N957" s="157"/>
      <c r="O957" s="157"/>
      <c r="P957" s="157"/>
      <c r="Q957" s="585"/>
    </row>
    <row r="958" spans="2:17" ht="12.75">
      <c r="B958" s="515"/>
      <c r="C958" s="516"/>
      <c r="D958" s="516"/>
      <c r="E958" s="570"/>
      <c r="F958" s="516"/>
      <c r="G958" s="531"/>
      <c r="H958" s="516"/>
      <c r="I958" s="531"/>
      <c r="J958" s="571"/>
      <c r="K958" s="287"/>
      <c r="L958" s="157"/>
      <c r="M958" s="157"/>
      <c r="N958" s="157"/>
      <c r="O958" s="157"/>
      <c r="P958" s="157"/>
      <c r="Q958" s="585"/>
    </row>
    <row r="959" spans="2:17" ht="12.75">
      <c r="B959" s="515"/>
      <c r="C959" s="516"/>
      <c r="D959" s="516"/>
      <c r="E959" s="570"/>
      <c r="F959" s="516"/>
      <c r="G959" s="531"/>
      <c r="H959" s="516"/>
      <c r="I959" s="531"/>
      <c r="J959" s="571"/>
      <c r="K959" s="287"/>
      <c r="L959" s="157"/>
      <c r="M959" s="157"/>
      <c r="N959" s="157"/>
      <c r="O959" s="157"/>
      <c r="P959" s="157"/>
      <c r="Q959" s="585"/>
    </row>
    <row r="960" spans="2:17" ht="12.75">
      <c r="B960" s="515"/>
      <c r="C960" s="516"/>
      <c r="D960" s="516"/>
      <c r="E960" s="570"/>
      <c r="F960" s="516"/>
      <c r="G960" s="531"/>
      <c r="H960" s="516"/>
      <c r="I960" s="531"/>
      <c r="J960" s="571"/>
      <c r="K960" s="287"/>
      <c r="L960" s="157"/>
      <c r="M960" s="157"/>
      <c r="N960" s="157"/>
      <c r="O960" s="157"/>
      <c r="P960" s="157"/>
      <c r="Q960" s="585"/>
    </row>
    <row r="961" spans="2:17" ht="12.75">
      <c r="B961" s="515"/>
      <c r="C961" s="516"/>
      <c r="D961" s="516"/>
      <c r="E961" s="570"/>
      <c r="F961" s="516"/>
      <c r="G961" s="531"/>
      <c r="H961" s="516"/>
      <c r="I961" s="531"/>
      <c r="J961" s="571"/>
      <c r="K961" s="287"/>
      <c r="L961" s="157"/>
      <c r="M961" s="157"/>
      <c r="N961" s="157"/>
      <c r="O961" s="157"/>
      <c r="P961" s="157"/>
      <c r="Q961" s="585"/>
    </row>
    <row r="962" spans="2:17" ht="12.75">
      <c r="B962" s="515"/>
      <c r="C962" s="516"/>
      <c r="D962" s="516"/>
      <c r="E962" s="570"/>
      <c r="F962" s="516"/>
      <c r="G962" s="531"/>
      <c r="H962" s="516"/>
      <c r="I962" s="531"/>
      <c r="J962" s="571"/>
      <c r="K962" s="287"/>
      <c r="L962" s="157"/>
      <c r="M962" s="157"/>
      <c r="N962" s="157"/>
      <c r="O962" s="157"/>
      <c r="P962" s="157"/>
      <c r="Q962" s="585"/>
    </row>
    <row r="963" spans="2:17" ht="12.75">
      <c r="B963" s="515"/>
      <c r="C963" s="516"/>
      <c r="D963" s="516"/>
      <c r="E963" s="570"/>
      <c r="F963" s="516"/>
      <c r="G963" s="531"/>
      <c r="H963" s="516"/>
      <c r="I963" s="531"/>
      <c r="J963" s="571"/>
      <c r="K963" s="287"/>
      <c r="L963" s="157"/>
      <c r="M963" s="157"/>
      <c r="N963" s="157"/>
      <c r="O963" s="157"/>
      <c r="P963" s="157"/>
      <c r="Q963" s="585"/>
    </row>
    <row r="964" spans="2:17" ht="12.75">
      <c r="B964" s="515"/>
      <c r="C964" s="516"/>
      <c r="D964" s="516"/>
      <c r="E964" s="570"/>
      <c r="F964" s="516"/>
      <c r="G964" s="531"/>
      <c r="H964" s="516"/>
      <c r="I964" s="531"/>
      <c r="J964" s="571"/>
      <c r="K964" s="287"/>
      <c r="L964" s="157"/>
      <c r="M964" s="157"/>
      <c r="N964" s="157"/>
      <c r="O964" s="157"/>
      <c r="P964" s="157"/>
      <c r="Q964" s="585"/>
    </row>
    <row r="965" spans="2:17" ht="12.75">
      <c r="B965" s="515"/>
      <c r="C965" s="516"/>
      <c r="D965" s="516"/>
      <c r="E965" s="570"/>
      <c r="F965" s="516"/>
      <c r="G965" s="531"/>
      <c r="H965" s="516"/>
      <c r="I965" s="531"/>
      <c r="J965" s="571"/>
      <c r="K965" s="287"/>
      <c r="L965" s="157"/>
      <c r="M965" s="157"/>
      <c r="N965" s="157"/>
      <c r="O965" s="157"/>
      <c r="P965" s="157"/>
      <c r="Q965" s="585"/>
    </row>
    <row r="966" spans="2:17" ht="12.75">
      <c r="B966" s="515"/>
      <c r="C966" s="516"/>
      <c r="D966" s="516"/>
      <c r="E966" s="570"/>
      <c r="F966" s="516"/>
      <c r="G966" s="531"/>
      <c r="H966" s="516"/>
      <c r="I966" s="531"/>
      <c r="J966" s="571"/>
      <c r="K966" s="287"/>
      <c r="L966" s="157"/>
      <c r="M966" s="157"/>
      <c r="N966" s="157"/>
      <c r="O966" s="157"/>
      <c r="P966" s="157"/>
      <c r="Q966" s="585"/>
    </row>
    <row r="967" spans="2:17" ht="12.75">
      <c r="B967" s="515"/>
      <c r="C967" s="516"/>
      <c r="D967" s="516"/>
      <c r="E967" s="570"/>
      <c r="F967" s="516"/>
      <c r="G967" s="531"/>
      <c r="H967" s="516"/>
      <c r="I967" s="531"/>
      <c r="J967" s="571"/>
      <c r="K967" s="287"/>
      <c r="L967" s="157"/>
      <c r="M967" s="157"/>
      <c r="N967" s="157"/>
      <c r="O967" s="157"/>
      <c r="P967" s="157"/>
      <c r="Q967" s="585"/>
    </row>
    <row r="968" spans="2:17" ht="12.75">
      <c r="B968" s="515"/>
      <c r="C968" s="516"/>
      <c r="D968" s="516"/>
      <c r="E968" s="570"/>
      <c r="F968" s="516"/>
      <c r="G968" s="531"/>
      <c r="H968" s="516"/>
      <c r="I968" s="531"/>
      <c r="J968" s="571"/>
      <c r="K968" s="287"/>
      <c r="L968" s="157"/>
      <c r="M968" s="157"/>
      <c r="N968" s="157"/>
      <c r="O968" s="157"/>
      <c r="P968" s="157"/>
      <c r="Q968" s="585"/>
    </row>
    <row r="969" spans="2:17" ht="12.75">
      <c r="B969" s="515"/>
      <c r="C969" s="516"/>
      <c r="D969" s="516"/>
      <c r="E969" s="570"/>
      <c r="F969" s="516"/>
      <c r="G969" s="531"/>
      <c r="H969" s="516"/>
      <c r="I969" s="531"/>
      <c r="J969" s="571"/>
      <c r="K969" s="287"/>
      <c r="L969" s="157"/>
      <c r="M969" s="157"/>
      <c r="N969" s="157"/>
      <c r="O969" s="157"/>
      <c r="P969" s="157"/>
      <c r="Q969" s="585"/>
    </row>
    <row r="970" spans="2:17" ht="12.75">
      <c r="B970" s="515"/>
      <c r="C970" s="516"/>
      <c r="D970" s="516"/>
      <c r="E970" s="570"/>
      <c r="F970" s="516"/>
      <c r="G970" s="531"/>
      <c r="H970" s="516"/>
      <c r="I970" s="531"/>
      <c r="J970" s="571"/>
      <c r="K970" s="287"/>
      <c r="L970" s="157"/>
      <c r="M970" s="157"/>
      <c r="N970" s="157"/>
      <c r="O970" s="157"/>
      <c r="P970" s="157"/>
      <c r="Q970" s="585"/>
    </row>
    <row r="971" spans="2:17" ht="12.75">
      <c r="B971" s="515"/>
      <c r="C971" s="516"/>
      <c r="D971" s="516"/>
      <c r="E971" s="570"/>
      <c r="F971" s="516"/>
      <c r="G971" s="531"/>
      <c r="H971" s="516"/>
      <c r="I971" s="531"/>
      <c r="J971" s="571"/>
      <c r="K971" s="287"/>
      <c r="L971" s="157"/>
      <c r="M971" s="157"/>
      <c r="N971" s="157"/>
      <c r="O971" s="157"/>
      <c r="P971" s="157"/>
      <c r="Q971" s="585"/>
    </row>
    <row r="972" spans="2:17" ht="12.75">
      <c r="B972" s="515"/>
      <c r="C972" s="516"/>
      <c r="D972" s="516"/>
      <c r="E972" s="570"/>
      <c r="F972" s="516"/>
      <c r="G972" s="531"/>
      <c r="H972" s="516"/>
      <c r="I972" s="531"/>
      <c r="J972" s="571"/>
      <c r="K972" s="287"/>
      <c r="L972" s="157"/>
      <c r="M972" s="157"/>
      <c r="N972" s="157"/>
      <c r="O972" s="157"/>
      <c r="P972" s="157"/>
      <c r="Q972" s="585"/>
    </row>
    <row r="973" spans="2:17" ht="12.75">
      <c r="B973" s="515"/>
      <c r="C973" s="516"/>
      <c r="D973" s="516"/>
      <c r="E973" s="570"/>
      <c r="F973" s="516"/>
      <c r="G973" s="531"/>
      <c r="H973" s="516"/>
      <c r="I973" s="531"/>
      <c r="J973" s="571"/>
      <c r="K973" s="287"/>
      <c r="L973" s="157"/>
      <c r="M973" s="157"/>
      <c r="N973" s="157"/>
      <c r="O973" s="157"/>
      <c r="P973" s="157"/>
      <c r="Q973" s="585"/>
    </row>
    <row r="974" spans="2:17" ht="12.75">
      <c r="B974" s="515"/>
      <c r="C974" s="516"/>
      <c r="D974" s="516"/>
      <c r="E974" s="570"/>
      <c r="F974" s="516"/>
      <c r="G974" s="531"/>
      <c r="H974" s="516"/>
      <c r="I974" s="531"/>
      <c r="J974" s="571"/>
      <c r="K974" s="287"/>
      <c r="L974" s="157"/>
      <c r="M974" s="157"/>
      <c r="N974" s="157"/>
      <c r="O974" s="157"/>
      <c r="P974" s="157"/>
      <c r="Q974" s="585"/>
    </row>
    <row r="975" spans="2:17" ht="12.75">
      <c r="B975" s="515"/>
      <c r="C975" s="516"/>
      <c r="D975" s="516"/>
      <c r="E975" s="570"/>
      <c r="F975" s="516"/>
      <c r="G975" s="531"/>
      <c r="H975" s="516"/>
      <c r="I975" s="531"/>
      <c r="J975" s="571"/>
      <c r="K975" s="287"/>
      <c r="L975" s="157"/>
      <c r="M975" s="157"/>
      <c r="N975" s="157"/>
      <c r="O975" s="157"/>
      <c r="P975" s="157"/>
      <c r="Q975" s="585"/>
    </row>
    <row r="976" spans="2:17" ht="12.75">
      <c r="B976" s="515"/>
      <c r="C976" s="516"/>
      <c r="D976" s="516"/>
      <c r="E976" s="570"/>
      <c r="F976" s="516"/>
      <c r="G976" s="531"/>
      <c r="H976" s="516"/>
      <c r="I976" s="531"/>
      <c r="J976" s="571"/>
      <c r="K976" s="287"/>
      <c r="L976" s="157"/>
      <c r="M976" s="157"/>
      <c r="N976" s="157"/>
      <c r="O976" s="157"/>
      <c r="P976" s="157"/>
      <c r="Q976" s="585"/>
    </row>
    <row r="977" spans="2:17" ht="12.75">
      <c r="B977" s="515"/>
      <c r="C977" s="516"/>
      <c r="D977" s="516"/>
      <c r="E977" s="570"/>
      <c r="F977" s="516"/>
      <c r="G977" s="531"/>
      <c r="H977" s="516"/>
      <c r="I977" s="531"/>
      <c r="J977" s="571"/>
      <c r="K977" s="287"/>
      <c r="L977" s="157"/>
      <c r="M977" s="157"/>
      <c r="N977" s="157"/>
      <c r="O977" s="157"/>
      <c r="P977" s="157"/>
      <c r="Q977" s="585"/>
    </row>
    <row r="978" spans="2:17" ht="12.75">
      <c r="B978" s="515"/>
      <c r="C978" s="516"/>
      <c r="D978" s="516"/>
      <c r="E978" s="570"/>
      <c r="F978" s="516"/>
      <c r="G978" s="531"/>
      <c r="H978" s="516"/>
      <c r="I978" s="531"/>
      <c r="J978" s="571"/>
      <c r="K978" s="287"/>
      <c r="L978" s="157"/>
      <c r="M978" s="157"/>
      <c r="N978" s="157"/>
      <c r="O978" s="157"/>
      <c r="P978" s="157"/>
      <c r="Q978" s="585"/>
    </row>
    <row r="979" spans="2:17" ht="12.75">
      <c r="B979" s="515"/>
      <c r="C979" s="516"/>
      <c r="D979" s="516"/>
      <c r="E979" s="570"/>
      <c r="F979" s="516"/>
      <c r="G979" s="531"/>
      <c r="H979" s="516"/>
      <c r="I979" s="531"/>
      <c r="J979" s="571"/>
      <c r="K979" s="287"/>
      <c r="L979" s="157"/>
      <c r="M979" s="157"/>
      <c r="N979" s="157"/>
      <c r="O979" s="157"/>
      <c r="P979" s="157"/>
      <c r="Q979" s="585"/>
    </row>
    <row r="980" spans="2:17" ht="12.75">
      <c r="B980" s="515"/>
      <c r="C980" s="516"/>
      <c r="D980" s="516"/>
      <c r="E980" s="570"/>
      <c r="F980" s="516"/>
      <c r="G980" s="531"/>
      <c r="H980" s="516"/>
      <c r="I980" s="531"/>
      <c r="J980" s="571"/>
      <c r="K980" s="287"/>
      <c r="L980" s="157"/>
      <c r="M980" s="157"/>
      <c r="N980" s="157"/>
      <c r="O980" s="157"/>
      <c r="P980" s="157"/>
      <c r="Q980" s="585"/>
    </row>
    <row r="981" spans="2:17" ht="12.75">
      <c r="B981" s="515"/>
      <c r="C981" s="516"/>
      <c r="D981" s="516"/>
      <c r="E981" s="570"/>
      <c r="F981" s="516"/>
      <c r="G981" s="531"/>
      <c r="H981" s="516"/>
      <c r="I981" s="531"/>
      <c r="J981" s="571"/>
      <c r="K981" s="287"/>
      <c r="L981" s="157"/>
      <c r="M981" s="157"/>
      <c r="N981" s="157"/>
      <c r="O981" s="157"/>
      <c r="P981" s="157"/>
      <c r="Q981" s="585"/>
    </row>
    <row r="982" spans="2:17" ht="12.75">
      <c r="B982" s="515"/>
      <c r="C982" s="516"/>
      <c r="D982" s="516"/>
      <c r="E982" s="570"/>
      <c r="F982" s="516"/>
      <c r="G982" s="531"/>
      <c r="H982" s="516"/>
      <c r="I982" s="531"/>
      <c r="J982" s="571"/>
      <c r="K982" s="287"/>
      <c r="L982" s="157"/>
      <c r="M982" s="157"/>
      <c r="N982" s="157"/>
      <c r="O982" s="157"/>
      <c r="P982" s="157"/>
      <c r="Q982" s="585"/>
    </row>
    <row r="983" spans="2:17" ht="12.75">
      <c r="B983" s="515"/>
      <c r="C983" s="516"/>
      <c r="D983" s="516"/>
      <c r="E983" s="570"/>
      <c r="F983" s="516"/>
      <c r="G983" s="531"/>
      <c r="H983" s="516"/>
      <c r="I983" s="531"/>
      <c r="J983" s="571"/>
      <c r="K983" s="287"/>
      <c r="L983" s="157"/>
      <c r="M983" s="157"/>
      <c r="N983" s="157"/>
      <c r="O983" s="157"/>
      <c r="P983" s="157"/>
      <c r="Q983" s="585"/>
    </row>
    <row r="984" spans="2:17" ht="12.75">
      <c r="B984" s="515"/>
      <c r="C984" s="516"/>
      <c r="D984" s="516"/>
      <c r="E984" s="570"/>
      <c r="F984" s="516"/>
      <c r="G984" s="531"/>
      <c r="H984" s="516"/>
      <c r="I984" s="531"/>
      <c r="J984" s="571"/>
      <c r="K984" s="287"/>
      <c r="L984" s="157"/>
      <c r="M984" s="157"/>
      <c r="N984" s="157"/>
      <c r="O984" s="157"/>
      <c r="P984" s="157"/>
      <c r="Q984" s="585"/>
    </row>
    <row r="985" spans="2:17" ht="12.75">
      <c r="B985" s="515"/>
      <c r="C985" s="516"/>
      <c r="D985" s="516"/>
      <c r="E985" s="570"/>
      <c r="F985" s="516"/>
      <c r="G985" s="531"/>
      <c r="H985" s="516"/>
      <c r="I985" s="531"/>
      <c r="J985" s="571"/>
      <c r="K985" s="287"/>
      <c r="L985" s="157"/>
      <c r="M985" s="157"/>
      <c r="N985" s="157"/>
      <c r="O985" s="157"/>
      <c r="P985" s="157"/>
      <c r="Q985" s="585"/>
    </row>
    <row r="986" spans="2:17" ht="12.75">
      <c r="B986" s="515"/>
      <c r="C986" s="516"/>
      <c r="D986" s="516"/>
      <c r="E986" s="570"/>
      <c r="F986" s="516"/>
      <c r="G986" s="531"/>
      <c r="H986" s="516"/>
      <c r="I986" s="531"/>
      <c r="J986" s="571"/>
      <c r="K986" s="287"/>
      <c r="L986" s="157"/>
      <c r="M986" s="157"/>
      <c r="N986" s="157"/>
      <c r="O986" s="157"/>
      <c r="P986" s="157"/>
      <c r="Q986" s="585"/>
    </row>
    <row r="987" spans="2:17" ht="12.75">
      <c r="B987" s="515"/>
      <c r="C987" s="516"/>
      <c r="D987" s="516"/>
      <c r="E987" s="570"/>
      <c r="F987" s="516"/>
      <c r="G987" s="531"/>
      <c r="H987" s="516"/>
      <c r="I987" s="531"/>
      <c r="J987" s="571"/>
      <c r="K987" s="287"/>
      <c r="L987" s="157"/>
      <c r="M987" s="157"/>
      <c r="N987" s="157"/>
      <c r="O987" s="157"/>
      <c r="P987" s="157"/>
      <c r="Q987" s="585"/>
    </row>
    <row r="988" spans="2:17" ht="12.75">
      <c r="B988" s="515"/>
      <c r="C988" s="516"/>
      <c r="D988" s="516"/>
      <c r="E988" s="570"/>
      <c r="F988" s="516"/>
      <c r="G988" s="531"/>
      <c r="H988" s="516"/>
      <c r="I988" s="531"/>
      <c r="J988" s="571"/>
      <c r="K988" s="287"/>
      <c r="L988" s="157"/>
      <c r="M988" s="157"/>
      <c r="N988" s="157"/>
      <c r="O988" s="157"/>
      <c r="P988" s="157"/>
      <c r="Q988" s="585"/>
    </row>
    <row r="989" spans="2:17" ht="12.75">
      <c r="B989" s="515"/>
      <c r="C989" s="516"/>
      <c r="D989" s="516"/>
      <c r="E989" s="570"/>
      <c r="F989" s="516"/>
      <c r="G989" s="531"/>
      <c r="H989" s="516"/>
      <c r="I989" s="531"/>
      <c r="J989" s="571"/>
      <c r="K989" s="287"/>
      <c r="L989" s="157"/>
      <c r="M989" s="157"/>
      <c r="N989" s="157"/>
      <c r="O989" s="157"/>
      <c r="P989" s="157"/>
      <c r="Q989" s="585"/>
    </row>
    <row r="990" spans="2:17" ht="12.75">
      <c r="B990" s="515"/>
      <c r="C990" s="516"/>
      <c r="D990" s="516"/>
      <c r="E990" s="570"/>
      <c r="F990" s="516"/>
      <c r="G990" s="531"/>
      <c r="H990" s="516"/>
      <c r="I990" s="531"/>
      <c r="J990" s="571"/>
      <c r="K990" s="287"/>
      <c r="L990" s="157"/>
      <c r="M990" s="157"/>
      <c r="N990" s="157"/>
      <c r="O990" s="157"/>
      <c r="P990" s="157"/>
      <c r="Q990" s="585"/>
    </row>
    <row r="991" spans="2:17" ht="12.75">
      <c r="B991" s="515"/>
      <c r="C991" s="516"/>
      <c r="D991" s="516"/>
      <c r="E991" s="570"/>
      <c r="F991" s="516"/>
      <c r="G991" s="531"/>
      <c r="H991" s="516"/>
      <c r="I991" s="531"/>
      <c r="J991" s="571"/>
      <c r="K991" s="287"/>
      <c r="L991" s="157"/>
      <c r="M991" s="157"/>
      <c r="N991" s="157"/>
      <c r="O991" s="157"/>
      <c r="P991" s="157"/>
      <c r="Q991" s="585"/>
    </row>
    <row r="992" spans="2:17" ht="12.75">
      <c r="B992" s="515"/>
      <c r="C992" s="516"/>
      <c r="D992" s="516"/>
      <c r="E992" s="570"/>
      <c r="F992" s="516"/>
      <c r="G992" s="531"/>
      <c r="H992" s="516"/>
      <c r="I992" s="531"/>
      <c r="J992" s="571"/>
      <c r="K992" s="287"/>
      <c r="L992" s="157"/>
      <c r="M992" s="157"/>
      <c r="N992" s="157"/>
      <c r="O992" s="157"/>
      <c r="P992" s="157"/>
      <c r="Q992" s="585"/>
    </row>
    <row r="993" spans="2:17" ht="12.75">
      <c r="B993" s="515"/>
      <c r="C993" s="516"/>
      <c r="D993" s="516"/>
      <c r="E993" s="570"/>
      <c r="F993" s="516"/>
      <c r="G993" s="531"/>
      <c r="H993" s="516"/>
      <c r="I993" s="531"/>
      <c r="J993" s="571"/>
      <c r="K993" s="287"/>
      <c r="L993" s="157"/>
      <c r="M993" s="157"/>
      <c r="N993" s="157"/>
      <c r="O993" s="157"/>
      <c r="P993" s="157"/>
      <c r="Q993" s="585"/>
    </row>
    <row r="994" spans="2:17" ht="12.75">
      <c r="B994" s="515"/>
      <c r="C994" s="516"/>
      <c r="D994" s="516"/>
      <c r="E994" s="570"/>
      <c r="F994" s="516"/>
      <c r="G994" s="531"/>
      <c r="H994" s="516"/>
      <c r="I994" s="531"/>
      <c r="J994" s="571"/>
      <c r="K994" s="287"/>
      <c r="L994" s="157"/>
      <c r="M994" s="157"/>
      <c r="N994" s="157"/>
      <c r="O994" s="157"/>
      <c r="P994" s="157"/>
      <c r="Q994" s="585"/>
    </row>
    <row r="995" spans="2:17" ht="12.75">
      <c r="B995" s="515"/>
      <c r="C995" s="516"/>
      <c r="D995" s="516"/>
      <c r="E995" s="570"/>
      <c r="F995" s="516"/>
      <c r="G995" s="531"/>
      <c r="H995" s="516"/>
      <c r="I995" s="531"/>
      <c r="J995" s="571"/>
      <c r="K995" s="287"/>
      <c r="L995" s="157"/>
      <c r="M995" s="157"/>
      <c r="N995" s="157"/>
      <c r="O995" s="157"/>
      <c r="P995" s="157"/>
      <c r="Q995" s="585"/>
    </row>
    <row r="996" spans="2:17" ht="12.75">
      <c r="B996" s="515"/>
      <c r="C996" s="516"/>
      <c r="D996" s="516"/>
      <c r="E996" s="570"/>
      <c r="F996" s="516"/>
      <c r="G996" s="531"/>
      <c r="H996" s="516"/>
      <c r="I996" s="531"/>
      <c r="J996" s="571"/>
      <c r="K996" s="287"/>
      <c r="L996" s="157"/>
      <c r="M996" s="157"/>
      <c r="N996" s="157"/>
      <c r="O996" s="157"/>
      <c r="P996" s="157"/>
      <c r="Q996" s="585"/>
    </row>
    <row r="997" spans="2:17" ht="12.75">
      <c r="B997" s="515"/>
      <c r="C997" s="516"/>
      <c r="D997" s="516"/>
      <c r="E997" s="570"/>
      <c r="F997" s="516"/>
      <c r="G997" s="531"/>
      <c r="H997" s="516"/>
      <c r="I997" s="531"/>
      <c r="J997" s="571"/>
      <c r="K997" s="287"/>
      <c r="L997" s="157"/>
      <c r="M997" s="157"/>
      <c r="N997" s="157"/>
      <c r="O997" s="157"/>
      <c r="P997" s="157"/>
      <c r="Q997" s="585"/>
    </row>
    <row r="998" spans="2:17" ht="12.75">
      <c r="B998" s="515"/>
      <c r="C998" s="516"/>
      <c r="D998" s="516"/>
      <c r="E998" s="570"/>
      <c r="F998" s="516"/>
      <c r="G998" s="531"/>
      <c r="H998" s="516"/>
      <c r="I998" s="531"/>
      <c r="J998" s="571"/>
      <c r="K998" s="287"/>
      <c r="L998" s="157"/>
      <c r="M998" s="157"/>
      <c r="N998" s="157"/>
      <c r="O998" s="157"/>
      <c r="P998" s="157"/>
      <c r="Q998" s="585"/>
    </row>
    <row r="999" spans="2:17" ht="12.75">
      <c r="B999" s="515"/>
      <c r="C999" s="516"/>
      <c r="D999" s="516"/>
      <c r="E999" s="570"/>
      <c r="F999" s="516"/>
      <c r="G999" s="531"/>
      <c r="H999" s="516"/>
      <c r="I999" s="531"/>
      <c r="J999" s="571"/>
      <c r="K999" s="287"/>
      <c r="L999" s="157"/>
      <c r="M999" s="157"/>
      <c r="N999" s="157"/>
      <c r="O999" s="157"/>
      <c r="P999" s="157"/>
      <c r="Q999" s="585"/>
    </row>
    <row r="1000" spans="2:17" ht="12.75">
      <c r="B1000" s="515"/>
      <c r="C1000" s="516"/>
      <c r="D1000" s="516"/>
      <c r="E1000" s="570"/>
      <c r="F1000" s="516"/>
      <c r="G1000" s="531"/>
      <c r="H1000" s="516"/>
      <c r="I1000" s="531"/>
      <c r="J1000" s="571"/>
      <c r="K1000" s="287"/>
      <c r="L1000" s="157"/>
      <c r="M1000" s="157"/>
      <c r="N1000" s="157"/>
      <c r="O1000" s="157"/>
      <c r="P1000" s="157"/>
      <c r="Q1000" s="585"/>
    </row>
    <row r="1001" spans="2:17" ht="12.75">
      <c r="B1001" s="515"/>
      <c r="C1001" s="516"/>
      <c r="D1001" s="516"/>
      <c r="E1001" s="570"/>
      <c r="F1001" s="516"/>
      <c r="G1001" s="531"/>
      <c r="H1001" s="516"/>
      <c r="I1001" s="531"/>
      <c r="J1001" s="571"/>
      <c r="K1001" s="287"/>
      <c r="L1001" s="157"/>
      <c r="M1001" s="157"/>
      <c r="N1001" s="157"/>
      <c r="O1001" s="157"/>
      <c r="P1001" s="157"/>
      <c r="Q1001" s="585"/>
    </row>
    <row r="1002" spans="2:17" ht="12.75">
      <c r="B1002" s="515"/>
      <c r="C1002" s="516"/>
      <c r="D1002" s="516"/>
      <c r="E1002" s="570"/>
      <c r="F1002" s="516"/>
      <c r="G1002" s="531"/>
      <c r="H1002" s="516"/>
      <c r="I1002" s="531"/>
      <c r="J1002" s="571"/>
      <c r="K1002" s="287"/>
      <c r="L1002" s="157"/>
      <c r="M1002" s="157"/>
      <c r="N1002" s="157"/>
      <c r="O1002" s="157"/>
      <c r="P1002" s="157"/>
      <c r="Q1002" s="585"/>
    </row>
    <row r="1003" spans="2:17" ht="12.75">
      <c r="B1003" s="515"/>
      <c r="C1003" s="516"/>
      <c r="D1003" s="516"/>
      <c r="E1003" s="570"/>
      <c r="F1003" s="516"/>
      <c r="G1003" s="531"/>
      <c r="H1003" s="516"/>
      <c r="I1003" s="531"/>
      <c r="J1003" s="571"/>
      <c r="K1003" s="287"/>
      <c r="L1003" s="157"/>
      <c r="M1003" s="157"/>
      <c r="N1003" s="157"/>
      <c r="O1003" s="157"/>
      <c r="P1003" s="157"/>
      <c r="Q1003" s="585"/>
    </row>
    <row r="1004" spans="2:17" ht="12.75">
      <c r="B1004" s="515"/>
      <c r="C1004" s="516"/>
      <c r="D1004" s="516"/>
      <c r="E1004" s="570"/>
      <c r="F1004" s="516"/>
      <c r="G1004" s="531"/>
      <c r="H1004" s="516"/>
      <c r="I1004" s="531"/>
      <c r="J1004" s="571"/>
      <c r="K1004" s="287"/>
      <c r="L1004" s="157"/>
      <c r="M1004" s="157"/>
      <c r="N1004" s="157"/>
      <c r="O1004" s="157"/>
      <c r="P1004" s="157"/>
      <c r="Q1004" s="585"/>
    </row>
    <row r="1005" spans="2:17" ht="12.75">
      <c r="B1005" s="515"/>
      <c r="C1005" s="516"/>
      <c r="D1005" s="516"/>
      <c r="E1005" s="570"/>
      <c r="F1005" s="516"/>
      <c r="G1005" s="531"/>
      <c r="H1005" s="516"/>
      <c r="I1005" s="531"/>
      <c r="J1005" s="571"/>
      <c r="K1005" s="287"/>
      <c r="L1005" s="157"/>
      <c r="M1005" s="157"/>
      <c r="N1005" s="157"/>
      <c r="O1005" s="157"/>
      <c r="P1005" s="157"/>
      <c r="Q1005" s="585"/>
    </row>
    <row r="1006" spans="2:17" ht="12.75">
      <c r="B1006" s="515"/>
      <c r="C1006" s="516"/>
      <c r="D1006" s="516"/>
      <c r="E1006" s="570"/>
      <c r="F1006" s="516"/>
      <c r="G1006" s="531"/>
      <c r="H1006" s="516"/>
      <c r="I1006" s="531"/>
      <c r="J1006" s="571"/>
      <c r="K1006" s="287"/>
      <c r="L1006" s="157"/>
      <c r="M1006" s="157"/>
      <c r="N1006" s="157"/>
      <c r="O1006" s="157"/>
      <c r="P1006" s="157"/>
      <c r="Q1006" s="585"/>
    </row>
    <row r="1007" spans="2:17" ht="12.75">
      <c r="B1007" s="515"/>
      <c r="C1007" s="516"/>
      <c r="D1007" s="516"/>
      <c r="E1007" s="570"/>
      <c r="F1007" s="516"/>
      <c r="G1007" s="531"/>
      <c r="H1007" s="516"/>
      <c r="I1007" s="531"/>
      <c r="J1007" s="571"/>
      <c r="K1007" s="287"/>
      <c r="L1007" s="157"/>
      <c r="M1007" s="157"/>
      <c r="N1007" s="157"/>
      <c r="O1007" s="157"/>
      <c r="P1007" s="157"/>
      <c r="Q1007" s="585"/>
    </row>
    <row r="1008" spans="2:17" ht="12.75">
      <c r="B1008" s="515"/>
      <c r="C1008" s="516"/>
      <c r="D1008" s="516"/>
      <c r="E1008" s="570"/>
      <c r="F1008" s="516"/>
      <c r="G1008" s="531"/>
      <c r="H1008" s="516"/>
      <c r="I1008" s="531"/>
      <c r="J1008" s="571"/>
      <c r="K1008" s="287"/>
      <c r="L1008" s="157"/>
      <c r="M1008" s="157"/>
      <c r="N1008" s="157"/>
      <c r="O1008" s="157"/>
      <c r="P1008" s="157"/>
      <c r="Q1008" s="585"/>
    </row>
    <row r="1009" spans="2:17" ht="12.75">
      <c r="B1009" s="515"/>
      <c r="C1009" s="516"/>
      <c r="D1009" s="516"/>
      <c r="E1009" s="570"/>
      <c r="F1009" s="516"/>
      <c r="G1009" s="531"/>
      <c r="H1009" s="516"/>
      <c r="I1009" s="531"/>
      <c r="J1009" s="571"/>
      <c r="K1009" s="287"/>
      <c r="L1009" s="157"/>
      <c r="M1009" s="157"/>
      <c r="N1009" s="157"/>
      <c r="O1009" s="157"/>
      <c r="P1009" s="157"/>
      <c r="Q1009" s="585"/>
    </row>
    <row r="1010" spans="2:17" ht="12.75">
      <c r="B1010" s="515"/>
      <c r="C1010" s="516"/>
      <c r="D1010" s="516"/>
      <c r="E1010" s="570"/>
      <c r="F1010" s="516"/>
      <c r="G1010" s="531"/>
      <c r="H1010" s="516"/>
      <c r="I1010" s="531"/>
      <c r="J1010" s="571"/>
      <c r="K1010" s="287"/>
      <c r="L1010" s="157"/>
      <c r="M1010" s="157"/>
      <c r="N1010" s="157"/>
      <c r="O1010" s="157"/>
      <c r="P1010" s="157"/>
      <c r="Q1010" s="585"/>
    </row>
    <row r="1011" spans="2:17" ht="12.75">
      <c r="B1011" s="515"/>
      <c r="C1011" s="516"/>
      <c r="D1011" s="516"/>
      <c r="E1011" s="570"/>
      <c r="F1011" s="516"/>
      <c r="G1011" s="531"/>
      <c r="H1011" s="516"/>
      <c r="I1011" s="531"/>
      <c r="J1011" s="571"/>
      <c r="K1011" s="287"/>
      <c r="L1011" s="157"/>
      <c r="M1011" s="157"/>
      <c r="N1011" s="157"/>
      <c r="O1011" s="157"/>
      <c r="P1011" s="157"/>
      <c r="Q1011" s="585"/>
    </row>
    <row r="1012" spans="2:17" ht="12.75">
      <c r="B1012" s="515"/>
      <c r="C1012" s="516"/>
      <c r="D1012" s="516"/>
      <c r="E1012" s="570"/>
      <c r="F1012" s="516"/>
      <c r="G1012" s="531"/>
      <c r="H1012" s="516"/>
      <c r="I1012" s="531"/>
      <c r="J1012" s="571"/>
      <c r="K1012" s="287"/>
      <c r="L1012" s="157"/>
      <c r="M1012" s="157"/>
      <c r="N1012" s="157"/>
      <c r="O1012" s="157"/>
      <c r="P1012" s="157"/>
      <c r="Q1012" s="585"/>
    </row>
    <row r="1013" spans="2:17" ht="12.75">
      <c r="B1013" s="515"/>
      <c r="C1013" s="516"/>
      <c r="D1013" s="516"/>
      <c r="E1013" s="570"/>
      <c r="F1013" s="516"/>
      <c r="G1013" s="531"/>
      <c r="H1013" s="516"/>
      <c r="I1013" s="531"/>
      <c r="J1013" s="571"/>
      <c r="K1013" s="287"/>
      <c r="L1013" s="157"/>
      <c r="M1013" s="157"/>
      <c r="N1013" s="157"/>
      <c r="O1013" s="157"/>
      <c r="P1013" s="157"/>
      <c r="Q1013" s="585"/>
    </row>
    <row r="1014" spans="2:17" ht="12.75">
      <c r="B1014" s="515"/>
      <c r="C1014" s="516"/>
      <c r="D1014" s="516"/>
      <c r="E1014" s="570"/>
      <c r="F1014" s="516"/>
      <c r="G1014" s="531"/>
      <c r="H1014" s="516"/>
      <c r="I1014" s="531"/>
      <c r="J1014" s="571"/>
      <c r="K1014" s="287"/>
      <c r="L1014" s="157"/>
      <c r="M1014" s="157"/>
      <c r="N1014" s="157"/>
      <c r="O1014" s="157"/>
      <c r="P1014" s="157"/>
      <c r="Q1014" s="585"/>
    </row>
    <row r="1015" spans="2:17" ht="12.75">
      <c r="B1015" s="515"/>
      <c r="C1015" s="516"/>
      <c r="D1015" s="516"/>
      <c r="E1015" s="570"/>
      <c r="F1015" s="516"/>
      <c r="G1015" s="531"/>
      <c r="H1015" s="516"/>
      <c r="I1015" s="531"/>
      <c r="J1015" s="571"/>
      <c r="K1015" s="287"/>
      <c r="L1015" s="157"/>
      <c r="M1015" s="157"/>
      <c r="N1015" s="157"/>
      <c r="O1015" s="157"/>
      <c r="P1015" s="157"/>
      <c r="Q1015" s="585"/>
    </row>
    <row r="1016" spans="2:17" ht="12.75">
      <c r="B1016" s="515"/>
      <c r="C1016" s="516"/>
      <c r="D1016" s="516"/>
      <c r="E1016" s="570"/>
      <c r="F1016" s="516"/>
      <c r="G1016" s="531"/>
      <c r="H1016" s="516"/>
      <c r="I1016" s="531"/>
      <c r="J1016" s="571"/>
      <c r="K1016" s="287"/>
      <c r="L1016" s="157"/>
      <c r="M1016" s="157"/>
      <c r="N1016" s="157"/>
      <c r="O1016" s="157"/>
      <c r="P1016" s="157"/>
      <c r="Q1016" s="585"/>
    </row>
    <row r="1017" spans="2:17" ht="12.75">
      <c r="B1017" s="515"/>
      <c r="C1017" s="516"/>
      <c r="D1017" s="516"/>
      <c r="E1017" s="570"/>
      <c r="F1017" s="516"/>
      <c r="G1017" s="531"/>
      <c r="H1017" s="516"/>
      <c r="I1017" s="531"/>
      <c r="J1017" s="571"/>
      <c r="K1017" s="287"/>
      <c r="L1017" s="157"/>
      <c r="M1017" s="157"/>
      <c r="N1017" s="157"/>
      <c r="O1017" s="157"/>
      <c r="P1017" s="157"/>
      <c r="Q1017" s="585"/>
    </row>
    <row r="1018" spans="2:17" ht="12.75">
      <c r="B1018" s="515"/>
      <c r="C1018" s="516"/>
      <c r="D1018" s="516"/>
      <c r="E1018" s="570"/>
      <c r="F1018" s="516"/>
      <c r="G1018" s="531"/>
      <c r="H1018" s="516"/>
      <c r="I1018" s="531"/>
      <c r="J1018" s="571"/>
      <c r="K1018" s="287"/>
      <c r="L1018" s="157"/>
      <c r="M1018" s="157"/>
      <c r="N1018" s="157"/>
      <c r="O1018" s="157"/>
      <c r="P1018" s="157"/>
      <c r="Q1018" s="585"/>
    </row>
    <row r="1019" spans="2:17" ht="12.75">
      <c r="B1019" s="515"/>
      <c r="C1019" s="516"/>
      <c r="D1019" s="516"/>
      <c r="E1019" s="570"/>
      <c r="F1019" s="516"/>
      <c r="G1019" s="531"/>
      <c r="H1019" s="516"/>
      <c r="I1019" s="531"/>
      <c r="J1019" s="571"/>
      <c r="K1019" s="287"/>
      <c r="L1019" s="157"/>
      <c r="M1019" s="157"/>
      <c r="N1019" s="157"/>
      <c r="O1019" s="157"/>
      <c r="P1019" s="157"/>
      <c r="Q1019" s="585"/>
    </row>
    <row r="1020" spans="2:17" ht="12.75">
      <c r="B1020" s="515"/>
      <c r="C1020" s="516"/>
      <c r="D1020" s="516"/>
      <c r="E1020" s="570"/>
      <c r="F1020" s="516"/>
      <c r="G1020" s="531"/>
      <c r="H1020" s="516"/>
      <c r="I1020" s="531"/>
      <c r="J1020" s="571"/>
      <c r="K1020" s="287"/>
      <c r="L1020" s="157"/>
      <c r="M1020" s="157"/>
      <c r="N1020" s="157"/>
      <c r="O1020" s="157"/>
      <c r="P1020" s="157"/>
      <c r="Q1020" s="585"/>
    </row>
    <row r="1021" spans="2:17" ht="12.75">
      <c r="B1021" s="515"/>
      <c r="C1021" s="516"/>
      <c r="D1021" s="516"/>
      <c r="E1021" s="570"/>
      <c r="F1021" s="516"/>
      <c r="G1021" s="531"/>
      <c r="H1021" s="516"/>
      <c r="I1021" s="531"/>
      <c r="J1021" s="571"/>
      <c r="K1021" s="287"/>
      <c r="L1021" s="157"/>
      <c r="M1021" s="157"/>
      <c r="N1021" s="157"/>
      <c r="O1021" s="157"/>
      <c r="P1021" s="157"/>
      <c r="Q1021" s="585"/>
    </row>
    <row r="1022" spans="2:17" ht="12.75">
      <c r="B1022" s="515"/>
      <c r="C1022" s="516"/>
      <c r="D1022" s="516"/>
      <c r="E1022" s="570"/>
      <c r="F1022" s="516"/>
      <c r="G1022" s="531"/>
      <c r="H1022" s="516"/>
      <c r="I1022" s="531"/>
      <c r="J1022" s="571"/>
      <c r="K1022" s="287"/>
      <c r="L1022" s="157"/>
      <c r="M1022" s="157"/>
      <c r="N1022" s="157"/>
      <c r="O1022" s="157"/>
      <c r="P1022" s="157"/>
      <c r="Q1022" s="585"/>
    </row>
    <row r="1023" spans="2:17" ht="12.75">
      <c r="B1023" s="515"/>
      <c r="C1023" s="516"/>
      <c r="D1023" s="516"/>
      <c r="E1023" s="570"/>
      <c r="F1023" s="516"/>
      <c r="G1023" s="531"/>
      <c r="H1023" s="516"/>
      <c r="I1023" s="531"/>
      <c r="J1023" s="571"/>
      <c r="K1023" s="287"/>
      <c r="L1023" s="157"/>
      <c r="M1023" s="157"/>
      <c r="N1023" s="157"/>
      <c r="O1023" s="157"/>
      <c r="P1023" s="157"/>
      <c r="Q1023" s="585"/>
    </row>
    <row r="1024" spans="2:17" ht="12.75">
      <c r="B1024" s="515"/>
      <c r="C1024" s="516"/>
      <c r="D1024" s="516"/>
      <c r="E1024" s="570"/>
      <c r="F1024" s="516"/>
      <c r="G1024" s="531"/>
      <c r="H1024" s="516"/>
      <c r="I1024" s="531"/>
      <c r="J1024" s="571"/>
      <c r="K1024" s="287"/>
      <c r="L1024" s="157"/>
      <c r="M1024" s="157"/>
      <c r="N1024" s="157"/>
      <c r="O1024" s="157"/>
      <c r="P1024" s="157"/>
      <c r="Q1024" s="585"/>
    </row>
    <row r="1025" spans="2:17" ht="12.75">
      <c r="B1025" s="515"/>
      <c r="C1025" s="516"/>
      <c r="D1025" s="516"/>
      <c r="E1025" s="570"/>
      <c r="F1025" s="516"/>
      <c r="G1025" s="531"/>
      <c r="H1025" s="516"/>
      <c r="I1025" s="531"/>
      <c r="J1025" s="571"/>
      <c r="K1025" s="287"/>
      <c r="L1025" s="157"/>
      <c r="M1025" s="157"/>
      <c r="N1025" s="157"/>
      <c r="O1025" s="157"/>
      <c r="P1025" s="157"/>
      <c r="Q1025" s="585"/>
    </row>
    <row r="1026" spans="2:17" ht="12.75">
      <c r="B1026" s="515"/>
      <c r="C1026" s="516"/>
      <c r="D1026" s="516"/>
      <c r="E1026" s="570"/>
      <c r="F1026" s="516"/>
      <c r="G1026" s="531"/>
      <c r="H1026" s="516"/>
      <c r="I1026" s="531"/>
      <c r="J1026" s="571"/>
      <c r="K1026" s="287"/>
      <c r="L1026" s="157"/>
      <c r="M1026" s="157"/>
      <c r="N1026" s="157"/>
      <c r="O1026" s="157"/>
      <c r="P1026" s="157"/>
      <c r="Q1026" s="585"/>
    </row>
    <row r="1027" spans="2:17" ht="12.75">
      <c r="B1027" s="515"/>
      <c r="C1027" s="516"/>
      <c r="D1027" s="516"/>
      <c r="E1027" s="570"/>
      <c r="F1027" s="516"/>
      <c r="G1027" s="531"/>
      <c r="H1027" s="516"/>
      <c r="I1027" s="531"/>
      <c r="J1027" s="571"/>
      <c r="K1027" s="287"/>
      <c r="L1027" s="157"/>
      <c r="M1027" s="157"/>
      <c r="N1027" s="157"/>
      <c r="O1027" s="157"/>
      <c r="P1027" s="157"/>
      <c r="Q1027" s="585"/>
    </row>
    <row r="1028" spans="2:17" ht="12.75">
      <c r="B1028" s="515"/>
      <c r="C1028" s="516"/>
      <c r="D1028" s="516"/>
      <c r="E1028" s="570"/>
      <c r="F1028" s="516"/>
      <c r="G1028" s="531"/>
      <c r="H1028" s="516"/>
      <c r="I1028" s="531"/>
      <c r="J1028" s="571"/>
      <c r="K1028" s="287"/>
      <c r="L1028" s="157"/>
      <c r="M1028" s="157"/>
      <c r="N1028" s="157"/>
      <c r="O1028" s="157"/>
      <c r="P1028" s="157"/>
      <c r="Q1028" s="585"/>
    </row>
    <row r="1029" spans="2:17" ht="12.75">
      <c r="B1029" s="515"/>
      <c r="C1029" s="516"/>
      <c r="D1029" s="516"/>
      <c r="E1029" s="570"/>
      <c r="F1029" s="516"/>
      <c r="G1029" s="531"/>
      <c r="H1029" s="516"/>
      <c r="I1029" s="531"/>
      <c r="J1029" s="571"/>
      <c r="K1029" s="287"/>
      <c r="L1029" s="157"/>
      <c r="M1029" s="157"/>
      <c r="N1029" s="157"/>
      <c r="O1029" s="157"/>
      <c r="P1029" s="157"/>
      <c r="Q1029" s="585"/>
    </row>
    <row r="1030" spans="2:17" ht="12.75">
      <c r="B1030" s="515"/>
      <c r="C1030" s="516"/>
      <c r="D1030" s="516"/>
      <c r="E1030" s="570"/>
      <c r="F1030" s="516"/>
      <c r="G1030" s="531"/>
      <c r="H1030" s="516"/>
      <c r="I1030" s="531"/>
      <c r="J1030" s="571"/>
      <c r="K1030" s="287"/>
      <c r="L1030" s="157"/>
      <c r="M1030" s="157"/>
      <c r="N1030" s="157"/>
      <c r="O1030" s="157"/>
      <c r="P1030" s="157"/>
      <c r="Q1030" s="585"/>
    </row>
    <row r="1031" spans="2:17" ht="12.75">
      <c r="B1031" s="515"/>
      <c r="C1031" s="516"/>
      <c r="D1031" s="516"/>
      <c r="E1031" s="570"/>
      <c r="F1031" s="516"/>
      <c r="G1031" s="531"/>
      <c r="H1031" s="516"/>
      <c r="I1031" s="531"/>
      <c r="J1031" s="571"/>
      <c r="K1031" s="287"/>
      <c r="L1031" s="157"/>
      <c r="M1031" s="157"/>
      <c r="N1031" s="157"/>
      <c r="O1031" s="157"/>
      <c r="P1031" s="157"/>
      <c r="Q1031" s="585"/>
    </row>
    <row r="1032" spans="2:17" ht="12.75">
      <c r="B1032" s="515"/>
      <c r="C1032" s="516"/>
      <c r="D1032" s="516"/>
      <c r="E1032" s="570"/>
      <c r="F1032" s="516"/>
      <c r="G1032" s="531"/>
      <c r="H1032" s="516"/>
      <c r="I1032" s="531"/>
      <c r="J1032" s="571"/>
      <c r="K1032" s="287"/>
      <c r="L1032" s="157"/>
      <c r="M1032" s="157"/>
      <c r="N1032" s="157"/>
      <c r="O1032" s="157"/>
      <c r="P1032" s="157"/>
      <c r="Q1032" s="585"/>
    </row>
    <row r="1033" spans="2:17" ht="12.75">
      <c r="B1033" s="515"/>
      <c r="C1033" s="516"/>
      <c r="D1033" s="516"/>
      <c r="E1033" s="570"/>
      <c r="F1033" s="516"/>
      <c r="G1033" s="531"/>
      <c r="H1033" s="516"/>
      <c r="I1033" s="531"/>
      <c r="J1033" s="571"/>
      <c r="K1033" s="287"/>
      <c r="L1033" s="157"/>
      <c r="M1033" s="157"/>
      <c r="N1033" s="157"/>
      <c r="O1033" s="157"/>
      <c r="P1033" s="157"/>
      <c r="Q1033" s="585"/>
    </row>
    <row r="1034" spans="2:17" ht="12.75">
      <c r="B1034" s="515"/>
      <c r="C1034" s="516"/>
      <c r="D1034" s="516"/>
      <c r="E1034" s="570"/>
      <c r="F1034" s="516"/>
      <c r="G1034" s="531"/>
      <c r="H1034" s="516"/>
      <c r="I1034" s="531"/>
      <c r="J1034" s="571"/>
      <c r="K1034" s="287"/>
      <c r="L1034" s="157"/>
      <c r="M1034" s="157"/>
      <c r="N1034" s="157"/>
      <c r="O1034" s="157"/>
      <c r="P1034" s="157"/>
      <c r="Q1034" s="585"/>
    </row>
    <row r="1035" spans="2:17" ht="12.75">
      <c r="B1035" s="515"/>
      <c r="C1035" s="516"/>
      <c r="D1035" s="516"/>
      <c r="E1035" s="570"/>
      <c r="F1035" s="516"/>
      <c r="G1035" s="531"/>
      <c r="H1035" s="516"/>
      <c r="I1035" s="531"/>
      <c r="J1035" s="571"/>
      <c r="K1035" s="287"/>
      <c r="L1035" s="157"/>
      <c r="M1035" s="157"/>
      <c r="N1035" s="157"/>
      <c r="O1035" s="157"/>
      <c r="P1035" s="157"/>
      <c r="Q1035" s="585"/>
    </row>
    <row r="1036" spans="2:17" ht="12.75">
      <c r="B1036" s="515"/>
      <c r="C1036" s="516"/>
      <c r="D1036" s="516"/>
      <c r="E1036" s="570"/>
      <c r="F1036" s="516"/>
      <c r="G1036" s="531"/>
      <c r="H1036" s="516"/>
      <c r="I1036" s="531"/>
      <c r="J1036" s="571"/>
      <c r="K1036" s="287"/>
      <c r="L1036" s="157"/>
      <c r="M1036" s="157"/>
      <c r="N1036" s="157"/>
      <c r="O1036" s="157"/>
      <c r="P1036" s="157"/>
      <c r="Q1036" s="585"/>
    </row>
    <row r="1037" spans="2:17" ht="12.75">
      <c r="B1037" s="515"/>
      <c r="C1037" s="516"/>
      <c r="D1037" s="516"/>
      <c r="E1037" s="570"/>
      <c r="F1037" s="516"/>
      <c r="G1037" s="531"/>
      <c r="H1037" s="516"/>
      <c r="I1037" s="531"/>
      <c r="J1037" s="571"/>
      <c r="K1037" s="287"/>
      <c r="L1037" s="157"/>
      <c r="M1037" s="157"/>
      <c r="N1037" s="157"/>
      <c r="O1037" s="157"/>
      <c r="P1037" s="157"/>
      <c r="Q1037" s="585"/>
    </row>
    <row r="1038" spans="2:17" ht="12.75">
      <c r="B1038" s="515"/>
      <c r="C1038" s="516"/>
      <c r="D1038" s="516"/>
      <c r="E1038" s="570"/>
      <c r="F1038" s="516"/>
      <c r="G1038" s="531"/>
      <c r="H1038" s="516"/>
      <c r="I1038" s="531"/>
      <c r="J1038" s="571"/>
      <c r="K1038" s="287"/>
      <c r="L1038" s="157"/>
      <c r="M1038" s="157"/>
      <c r="N1038" s="157"/>
      <c r="O1038" s="157"/>
      <c r="P1038" s="157"/>
      <c r="Q1038" s="585"/>
    </row>
    <row r="1039" spans="2:17" ht="12.75">
      <c r="B1039" s="515"/>
      <c r="C1039" s="516"/>
      <c r="D1039" s="516"/>
      <c r="E1039" s="570"/>
      <c r="F1039" s="516"/>
      <c r="G1039" s="531"/>
      <c r="H1039" s="516"/>
      <c r="I1039" s="531"/>
      <c r="J1039" s="571"/>
      <c r="K1039" s="287"/>
      <c r="L1039" s="157"/>
      <c r="M1039" s="157"/>
      <c r="N1039" s="157"/>
      <c r="O1039" s="157"/>
      <c r="P1039" s="157"/>
      <c r="Q1039" s="585"/>
    </row>
    <row r="1040" spans="2:17" ht="12.75">
      <c r="B1040" s="515"/>
      <c r="C1040" s="516"/>
      <c r="D1040" s="516"/>
      <c r="E1040" s="570"/>
      <c r="F1040" s="516"/>
      <c r="G1040" s="531"/>
      <c r="H1040" s="516"/>
      <c r="I1040" s="531"/>
      <c r="J1040" s="571"/>
      <c r="K1040" s="287"/>
      <c r="L1040" s="157"/>
      <c r="M1040" s="157"/>
      <c r="N1040" s="157"/>
      <c r="O1040" s="157"/>
      <c r="P1040" s="157"/>
      <c r="Q1040" s="585"/>
    </row>
    <row r="1041" spans="2:17" ht="12.75">
      <c r="B1041" s="515"/>
      <c r="C1041" s="516"/>
      <c r="D1041" s="516"/>
      <c r="E1041" s="570"/>
      <c r="F1041" s="516"/>
      <c r="G1041" s="531"/>
      <c r="H1041" s="516"/>
      <c r="I1041" s="531"/>
      <c r="J1041" s="571"/>
      <c r="K1041" s="287"/>
      <c r="L1041" s="157"/>
      <c r="M1041" s="157"/>
      <c r="N1041" s="157"/>
      <c r="O1041" s="157"/>
      <c r="P1041" s="157"/>
      <c r="Q1041" s="585"/>
    </row>
    <row r="1042" spans="2:17" ht="12.75">
      <c r="B1042" s="515"/>
      <c r="C1042" s="516"/>
      <c r="D1042" s="516"/>
      <c r="E1042" s="570"/>
      <c r="F1042" s="516"/>
      <c r="G1042" s="531"/>
      <c r="H1042" s="516"/>
      <c r="I1042" s="531"/>
      <c r="J1042" s="571"/>
      <c r="K1042" s="287"/>
      <c r="L1042" s="157"/>
      <c r="M1042" s="157"/>
      <c r="N1042" s="157"/>
      <c r="O1042" s="157"/>
      <c r="P1042" s="157"/>
      <c r="Q1042" s="585"/>
    </row>
    <row r="1043" spans="2:17" ht="12.75">
      <c r="B1043" s="515"/>
      <c r="C1043" s="516"/>
      <c r="D1043" s="516"/>
      <c r="E1043" s="570"/>
      <c r="F1043" s="516"/>
      <c r="G1043" s="531"/>
      <c r="H1043" s="516"/>
      <c r="I1043" s="531"/>
      <c r="J1043" s="571"/>
      <c r="K1043" s="287"/>
      <c r="L1043" s="157"/>
      <c r="M1043" s="157"/>
      <c r="N1043" s="157"/>
      <c r="O1043" s="157"/>
      <c r="P1043" s="157"/>
      <c r="Q1043" s="585"/>
    </row>
    <row r="1044" spans="2:17" ht="12.75">
      <c r="B1044" s="515"/>
      <c r="C1044" s="516"/>
      <c r="D1044" s="516"/>
      <c r="E1044" s="570"/>
      <c r="F1044" s="516"/>
      <c r="G1044" s="531"/>
      <c r="H1044" s="516"/>
      <c r="I1044" s="531"/>
      <c r="J1044" s="571"/>
      <c r="K1044" s="287"/>
      <c r="L1044" s="157"/>
      <c r="M1044" s="157"/>
      <c r="N1044" s="157"/>
      <c r="O1044" s="157"/>
      <c r="P1044" s="157"/>
      <c r="Q1044" s="585"/>
    </row>
    <row r="1045" spans="2:17" ht="12.75">
      <c r="B1045" s="515"/>
      <c r="C1045" s="516"/>
      <c r="D1045" s="516"/>
      <c r="E1045" s="570"/>
      <c r="F1045" s="516"/>
      <c r="G1045" s="531"/>
      <c r="H1045" s="516"/>
      <c r="I1045" s="531"/>
      <c r="J1045" s="571"/>
      <c r="K1045" s="287"/>
      <c r="L1045" s="157"/>
      <c r="M1045" s="157"/>
      <c r="N1045" s="157"/>
      <c r="O1045" s="157"/>
      <c r="P1045" s="157"/>
      <c r="Q1045" s="585"/>
    </row>
    <row r="1046" spans="2:17" ht="12.75">
      <c r="B1046" s="515"/>
      <c r="C1046" s="516"/>
      <c r="D1046" s="516"/>
      <c r="E1046" s="570"/>
      <c r="F1046" s="516"/>
      <c r="G1046" s="531"/>
      <c r="H1046" s="516"/>
      <c r="I1046" s="531"/>
      <c r="J1046" s="571"/>
      <c r="K1046" s="287"/>
      <c r="L1046" s="157"/>
      <c r="M1046" s="157"/>
      <c r="N1046" s="157"/>
      <c r="O1046" s="157"/>
      <c r="P1046" s="157"/>
      <c r="Q1046" s="585"/>
    </row>
    <row r="1047" spans="2:17" ht="12.75">
      <c r="B1047" s="515"/>
      <c r="C1047" s="516"/>
      <c r="D1047" s="516"/>
      <c r="E1047" s="570"/>
      <c r="F1047" s="516"/>
      <c r="G1047" s="531"/>
      <c r="H1047" s="516"/>
      <c r="I1047" s="531"/>
      <c r="J1047" s="571"/>
      <c r="K1047" s="287"/>
      <c r="L1047" s="157"/>
      <c r="M1047" s="157"/>
      <c r="N1047" s="157"/>
      <c r="O1047" s="157"/>
      <c r="P1047" s="157"/>
      <c r="Q1047" s="585"/>
    </row>
    <row r="1048" spans="2:17" ht="12.75">
      <c r="B1048" s="515"/>
      <c r="C1048" s="516"/>
      <c r="D1048" s="516"/>
      <c r="E1048" s="570"/>
      <c r="F1048" s="516"/>
      <c r="G1048" s="531"/>
      <c r="H1048" s="516"/>
      <c r="I1048" s="531"/>
      <c r="J1048" s="571"/>
      <c r="K1048" s="287"/>
      <c r="L1048" s="157"/>
      <c r="M1048" s="157"/>
      <c r="N1048" s="157"/>
      <c r="O1048" s="157"/>
      <c r="P1048" s="157"/>
      <c r="Q1048" s="585"/>
    </row>
    <row r="1049" spans="2:17" ht="12.75">
      <c r="B1049" s="515"/>
      <c r="C1049" s="516"/>
      <c r="D1049" s="516"/>
      <c r="E1049" s="570"/>
      <c r="F1049" s="516"/>
      <c r="G1049" s="531"/>
      <c r="H1049" s="516"/>
      <c r="I1049" s="531"/>
      <c r="J1049" s="571"/>
      <c r="K1049" s="287"/>
      <c r="L1049" s="157"/>
      <c r="M1049" s="157"/>
      <c r="N1049" s="157"/>
      <c r="O1049" s="157"/>
      <c r="P1049" s="157"/>
      <c r="Q1049" s="585"/>
    </row>
    <row r="1050" spans="2:17" ht="12.75">
      <c r="B1050" s="515"/>
      <c r="C1050" s="516"/>
      <c r="D1050" s="516"/>
      <c r="E1050" s="570"/>
      <c r="F1050" s="516"/>
      <c r="G1050" s="531"/>
      <c r="H1050" s="516"/>
      <c r="I1050" s="531"/>
      <c r="J1050" s="571"/>
      <c r="K1050" s="287"/>
      <c r="L1050" s="157"/>
      <c r="M1050" s="157"/>
      <c r="N1050" s="157"/>
      <c r="O1050" s="157"/>
      <c r="P1050" s="157"/>
      <c r="Q1050" s="585"/>
    </row>
    <row r="1051" spans="2:17" ht="12.75">
      <c r="B1051" s="515"/>
      <c r="C1051" s="516"/>
      <c r="D1051" s="516"/>
      <c r="E1051" s="570"/>
      <c r="F1051" s="516"/>
      <c r="G1051" s="531"/>
      <c r="H1051" s="516"/>
      <c r="I1051" s="531"/>
      <c r="J1051" s="571"/>
      <c r="K1051" s="287"/>
      <c r="L1051" s="157"/>
      <c r="M1051" s="157"/>
      <c r="N1051" s="157"/>
      <c r="O1051" s="157"/>
      <c r="P1051" s="157"/>
      <c r="Q1051" s="585"/>
    </row>
    <row r="1052" spans="2:17" ht="12.75">
      <c r="B1052" s="515"/>
      <c r="C1052" s="516"/>
      <c r="D1052" s="516"/>
      <c r="E1052" s="570"/>
      <c r="F1052" s="516"/>
      <c r="G1052" s="531"/>
      <c r="H1052" s="516"/>
      <c r="I1052" s="531"/>
      <c r="J1052" s="571"/>
      <c r="K1052" s="287"/>
      <c r="L1052" s="157"/>
      <c r="M1052" s="157"/>
      <c r="N1052" s="157"/>
      <c r="O1052" s="157"/>
      <c r="P1052" s="157"/>
      <c r="Q1052" s="585"/>
    </row>
    <row r="1053" spans="2:17" ht="12.75">
      <c r="B1053" s="515"/>
      <c r="C1053" s="516"/>
      <c r="D1053" s="516"/>
      <c r="E1053" s="570"/>
      <c r="F1053" s="516"/>
      <c r="G1053" s="531"/>
      <c r="H1053" s="516"/>
      <c r="I1053" s="531"/>
      <c r="J1053" s="571"/>
      <c r="K1053" s="287"/>
      <c r="L1053" s="157"/>
      <c r="M1053" s="157"/>
      <c r="N1053" s="157"/>
      <c r="O1053" s="157"/>
      <c r="P1053" s="157"/>
      <c r="Q1053" s="585"/>
    </row>
    <row r="1054" spans="2:17" ht="12.75">
      <c r="B1054" s="515"/>
      <c r="C1054" s="516"/>
      <c r="D1054" s="516"/>
      <c r="E1054" s="570"/>
      <c r="F1054" s="516"/>
      <c r="G1054" s="531"/>
      <c r="H1054" s="516"/>
      <c r="I1054" s="531"/>
      <c r="J1054" s="571"/>
      <c r="K1054" s="287"/>
      <c r="L1054" s="157"/>
      <c r="M1054" s="157"/>
      <c r="N1054" s="157"/>
      <c r="O1054" s="157"/>
      <c r="P1054" s="157"/>
      <c r="Q1054" s="585"/>
    </row>
    <row r="1055" spans="2:17" ht="12.75">
      <c r="B1055" s="515"/>
      <c r="C1055" s="516"/>
      <c r="D1055" s="516"/>
      <c r="E1055" s="570"/>
      <c r="F1055" s="516"/>
      <c r="G1055" s="531"/>
      <c r="H1055" s="516"/>
      <c r="I1055" s="531"/>
      <c r="J1055" s="571"/>
      <c r="K1055" s="287"/>
      <c r="L1055" s="157"/>
      <c r="M1055" s="157"/>
      <c r="N1055" s="157"/>
      <c r="O1055" s="157"/>
      <c r="P1055" s="157"/>
      <c r="Q1055" s="585"/>
    </row>
    <row r="1056" spans="2:17" ht="12.75">
      <c r="B1056" s="515"/>
      <c r="C1056" s="516"/>
      <c r="D1056" s="516"/>
      <c r="E1056" s="570"/>
      <c r="F1056" s="516"/>
      <c r="G1056" s="531"/>
      <c r="H1056" s="516"/>
      <c r="I1056" s="531"/>
      <c r="J1056" s="571"/>
      <c r="K1056" s="287"/>
      <c r="L1056" s="157"/>
      <c r="M1056" s="157"/>
      <c r="N1056" s="157"/>
      <c r="O1056" s="157"/>
      <c r="P1056" s="157"/>
      <c r="Q1056" s="585"/>
    </row>
    <row r="1057" spans="2:17" ht="12.75">
      <c r="B1057" s="515"/>
      <c r="C1057" s="516"/>
      <c r="D1057" s="516"/>
      <c r="E1057" s="570"/>
      <c r="F1057" s="516"/>
      <c r="G1057" s="531"/>
      <c r="H1057" s="516"/>
      <c r="I1057" s="531"/>
      <c r="J1057" s="571"/>
      <c r="K1057" s="287"/>
      <c r="L1057" s="157"/>
      <c r="M1057" s="157"/>
      <c r="N1057" s="157"/>
      <c r="O1057" s="157"/>
      <c r="P1057" s="157"/>
      <c r="Q1057" s="585"/>
    </row>
    <row r="1058" spans="2:17" ht="12.75">
      <c r="B1058" s="515"/>
      <c r="C1058" s="516"/>
      <c r="D1058" s="516"/>
      <c r="E1058" s="570"/>
      <c r="F1058" s="516"/>
      <c r="G1058" s="531"/>
      <c r="H1058" s="516"/>
      <c r="I1058" s="531"/>
      <c r="J1058" s="571"/>
      <c r="K1058" s="287"/>
      <c r="L1058" s="157"/>
      <c r="M1058" s="157"/>
      <c r="N1058" s="157"/>
      <c r="O1058" s="157"/>
      <c r="P1058" s="157"/>
      <c r="Q1058" s="585"/>
    </row>
    <row r="1059" spans="2:17" ht="12.75">
      <c r="B1059" s="515"/>
      <c r="C1059" s="516"/>
      <c r="D1059" s="516"/>
      <c r="E1059" s="570"/>
      <c r="F1059" s="516"/>
      <c r="G1059" s="531"/>
      <c r="H1059" s="516"/>
      <c r="I1059" s="531"/>
      <c r="J1059" s="571"/>
      <c r="K1059" s="287"/>
      <c r="L1059" s="157"/>
      <c r="M1059" s="157"/>
      <c r="N1059" s="157"/>
      <c r="O1059" s="157"/>
      <c r="P1059" s="157"/>
      <c r="Q1059" s="585"/>
    </row>
    <row r="1060" spans="2:17" ht="12.75">
      <c r="B1060" s="515"/>
      <c r="C1060" s="516"/>
      <c r="D1060" s="516"/>
      <c r="E1060" s="570"/>
      <c r="F1060" s="516"/>
      <c r="G1060" s="531"/>
      <c r="H1060" s="516"/>
      <c r="I1060" s="531"/>
      <c r="J1060" s="571"/>
      <c r="K1060" s="287"/>
      <c r="L1060" s="157"/>
      <c r="M1060" s="157"/>
      <c r="N1060" s="157"/>
      <c r="O1060" s="157"/>
      <c r="P1060" s="157"/>
      <c r="Q1060" s="585"/>
    </row>
    <row r="1061" spans="2:17" ht="12.75">
      <c r="B1061" s="515"/>
      <c r="C1061" s="516"/>
      <c r="D1061" s="516"/>
      <c r="E1061" s="570"/>
      <c r="F1061" s="516"/>
      <c r="G1061" s="531"/>
      <c r="H1061" s="516"/>
      <c r="I1061" s="531"/>
      <c r="J1061" s="571"/>
      <c r="K1061" s="287"/>
      <c r="L1061" s="157"/>
      <c r="M1061" s="157"/>
      <c r="N1061" s="157"/>
      <c r="O1061" s="157"/>
      <c r="P1061" s="157"/>
      <c r="Q1061" s="585"/>
    </row>
    <row r="1062" spans="2:17" ht="12.75">
      <c r="B1062" s="515"/>
      <c r="C1062" s="516"/>
      <c r="D1062" s="516"/>
      <c r="E1062" s="570"/>
      <c r="F1062" s="516"/>
      <c r="G1062" s="531"/>
      <c r="H1062" s="516"/>
      <c r="I1062" s="531"/>
      <c r="J1062" s="571"/>
      <c r="K1062" s="287"/>
      <c r="L1062" s="157"/>
      <c r="M1062" s="157"/>
      <c r="N1062" s="157"/>
      <c r="O1062" s="157"/>
      <c r="P1062" s="157"/>
      <c r="Q1062" s="585"/>
    </row>
    <row r="1063" spans="2:17" ht="12.75">
      <c r="B1063" s="515"/>
      <c r="C1063" s="516"/>
      <c r="D1063" s="516"/>
      <c r="E1063" s="570"/>
      <c r="F1063" s="516"/>
      <c r="G1063" s="531"/>
      <c r="H1063" s="516"/>
      <c r="I1063" s="531"/>
      <c r="J1063" s="571"/>
      <c r="K1063" s="287"/>
      <c r="L1063" s="157"/>
      <c r="M1063" s="157"/>
      <c r="N1063" s="157"/>
      <c r="O1063" s="157"/>
      <c r="P1063" s="157"/>
      <c r="Q1063" s="585"/>
    </row>
    <row r="1064" spans="2:17" ht="12.75">
      <c r="B1064" s="515"/>
      <c r="C1064" s="516"/>
      <c r="D1064" s="516"/>
      <c r="E1064" s="570"/>
      <c r="F1064" s="516"/>
      <c r="G1064" s="531"/>
      <c r="H1064" s="516"/>
      <c r="I1064" s="531"/>
      <c r="J1064" s="571"/>
      <c r="K1064" s="287"/>
      <c r="L1064" s="157"/>
      <c r="M1064" s="157"/>
      <c r="N1064" s="157"/>
      <c r="O1064" s="157"/>
      <c r="P1064" s="157"/>
      <c r="Q1064" s="585"/>
    </row>
    <row r="1065" spans="2:17" ht="12.75">
      <c r="B1065" s="515"/>
      <c r="C1065" s="516"/>
      <c r="D1065" s="516"/>
      <c r="E1065" s="570"/>
      <c r="F1065" s="516"/>
      <c r="G1065" s="531"/>
      <c r="H1065" s="516"/>
      <c r="I1065" s="531"/>
      <c r="J1065" s="571"/>
      <c r="K1065" s="287"/>
      <c r="L1065" s="157"/>
      <c r="M1065" s="157"/>
      <c r="N1065" s="157"/>
      <c r="O1065" s="157"/>
      <c r="P1065" s="157"/>
      <c r="Q1065" s="585"/>
    </row>
    <row r="1066" spans="2:17" ht="12.75">
      <c r="B1066" s="515"/>
      <c r="C1066" s="516"/>
      <c r="D1066" s="516"/>
      <c r="E1066" s="570"/>
      <c r="F1066" s="516"/>
      <c r="G1066" s="531"/>
      <c r="H1066" s="516"/>
      <c r="I1066" s="531"/>
      <c r="J1066" s="571"/>
      <c r="K1066" s="287"/>
      <c r="L1066" s="157"/>
      <c r="M1066" s="157"/>
      <c r="N1066" s="157"/>
      <c r="O1066" s="157"/>
      <c r="P1066" s="157"/>
      <c r="Q1066" s="585"/>
    </row>
    <row r="1067" spans="2:17" ht="12.75">
      <c r="B1067" s="515"/>
      <c r="C1067" s="516"/>
      <c r="D1067" s="516"/>
      <c r="E1067" s="570"/>
      <c r="F1067" s="516"/>
      <c r="G1067" s="531"/>
      <c r="H1067" s="516"/>
      <c r="I1067" s="531"/>
      <c r="J1067" s="571"/>
      <c r="K1067" s="287"/>
      <c r="L1067" s="157"/>
      <c r="M1067" s="157"/>
      <c r="N1067" s="157"/>
      <c r="O1067" s="157"/>
      <c r="P1067" s="157"/>
      <c r="Q1067" s="585"/>
    </row>
    <row r="1068" spans="2:17" ht="12.75">
      <c r="B1068" s="515"/>
      <c r="C1068" s="516"/>
      <c r="D1068" s="516"/>
      <c r="E1068" s="570"/>
      <c r="F1068" s="516"/>
      <c r="G1068" s="531"/>
      <c r="H1068" s="516"/>
      <c r="I1068" s="531"/>
      <c r="J1068" s="571"/>
      <c r="K1068" s="287"/>
      <c r="L1068" s="157"/>
      <c r="M1068" s="157"/>
      <c r="N1068" s="157"/>
      <c r="O1068" s="157"/>
      <c r="P1068" s="157"/>
      <c r="Q1068" s="585"/>
    </row>
    <row r="1069" spans="2:17" ht="12.75">
      <c r="B1069" s="515"/>
      <c r="C1069" s="516"/>
      <c r="D1069" s="516"/>
      <c r="E1069" s="570"/>
      <c r="F1069" s="516"/>
      <c r="G1069" s="531"/>
      <c r="H1069" s="516"/>
      <c r="I1069" s="531"/>
      <c r="J1069" s="571"/>
      <c r="K1069" s="287"/>
      <c r="L1069" s="157"/>
      <c r="M1069" s="157"/>
      <c r="N1069" s="157"/>
      <c r="O1069" s="157"/>
      <c r="P1069" s="157"/>
      <c r="Q1069" s="585"/>
    </row>
    <row r="1070" spans="2:17" ht="12.75">
      <c r="B1070" s="515"/>
      <c r="C1070" s="516"/>
      <c r="D1070" s="516"/>
      <c r="E1070" s="570"/>
      <c r="F1070" s="516"/>
      <c r="G1070" s="531"/>
      <c r="H1070" s="516"/>
      <c r="I1070" s="531"/>
      <c r="J1070" s="571"/>
      <c r="K1070" s="287"/>
      <c r="L1070" s="157"/>
      <c r="M1070" s="157"/>
      <c r="N1070" s="157"/>
      <c r="O1070" s="157"/>
      <c r="P1070" s="157"/>
      <c r="Q1070" s="585"/>
    </row>
    <row r="1071" spans="2:17" ht="12.75">
      <c r="B1071" s="515"/>
      <c r="C1071" s="516"/>
      <c r="D1071" s="516"/>
      <c r="E1071" s="570"/>
      <c r="F1071" s="516"/>
      <c r="G1071" s="531"/>
      <c r="H1071" s="516"/>
      <c r="I1071" s="531"/>
      <c r="J1071" s="571"/>
      <c r="K1071" s="287"/>
      <c r="L1071" s="157"/>
      <c r="M1071" s="157"/>
      <c r="N1071" s="157"/>
      <c r="O1071" s="157"/>
      <c r="P1071" s="157"/>
      <c r="Q1071" s="585"/>
    </row>
    <row r="1072" spans="2:17" ht="12.75">
      <c r="B1072" s="515"/>
      <c r="C1072" s="516"/>
      <c r="D1072" s="516"/>
      <c r="E1072" s="570"/>
      <c r="F1072" s="516"/>
      <c r="G1072" s="531"/>
      <c r="H1072" s="516"/>
      <c r="I1072" s="531"/>
      <c r="J1072" s="571"/>
      <c r="K1072" s="287"/>
      <c r="L1072" s="157"/>
      <c r="M1072" s="157"/>
      <c r="N1072" s="157"/>
      <c r="O1072" s="157"/>
      <c r="P1072" s="157"/>
      <c r="Q1072" s="585"/>
    </row>
    <row r="1073" spans="2:17" ht="12.75">
      <c r="B1073" s="515"/>
      <c r="C1073" s="516"/>
      <c r="D1073" s="516"/>
      <c r="E1073" s="570"/>
      <c r="F1073" s="516"/>
      <c r="G1073" s="531"/>
      <c r="H1073" s="516"/>
      <c r="I1073" s="531"/>
      <c r="J1073" s="571"/>
      <c r="K1073" s="287"/>
      <c r="L1073" s="157"/>
      <c r="M1073" s="157"/>
      <c r="N1073" s="157"/>
      <c r="O1073" s="157"/>
      <c r="P1073" s="157"/>
      <c r="Q1073" s="585"/>
    </row>
    <row r="1074" spans="2:17" ht="12.75">
      <c r="B1074" s="515"/>
      <c r="C1074" s="516"/>
      <c r="D1074" s="516"/>
      <c r="E1074" s="570"/>
      <c r="F1074" s="516"/>
      <c r="G1074" s="531"/>
      <c r="H1074" s="516"/>
      <c r="I1074" s="531"/>
      <c r="J1074" s="571"/>
      <c r="K1074" s="287"/>
      <c r="L1074" s="157"/>
      <c r="M1074" s="157"/>
      <c r="N1074" s="157"/>
      <c r="O1074" s="157"/>
      <c r="P1074" s="157"/>
      <c r="Q1074" s="585"/>
    </row>
    <row r="1075" spans="2:17" ht="12.75">
      <c r="B1075" s="515"/>
      <c r="C1075" s="516"/>
      <c r="D1075" s="516"/>
      <c r="E1075" s="570"/>
      <c r="F1075" s="516"/>
      <c r="G1075" s="531"/>
      <c r="H1075" s="516"/>
      <c r="I1075" s="531"/>
      <c r="J1075" s="571"/>
      <c r="K1075" s="287"/>
      <c r="L1075" s="157"/>
      <c r="M1075" s="157"/>
      <c r="N1075" s="157"/>
      <c r="O1075" s="157"/>
      <c r="P1075" s="157"/>
      <c r="Q1075" s="585"/>
    </row>
    <row r="1076" spans="2:17" ht="12.75">
      <c r="B1076" s="515"/>
      <c r="C1076" s="516"/>
      <c r="D1076" s="516"/>
      <c r="E1076" s="570"/>
      <c r="F1076" s="516"/>
      <c r="G1076" s="531"/>
      <c r="H1076" s="516"/>
      <c r="I1076" s="531"/>
      <c r="J1076" s="571"/>
      <c r="K1076" s="287"/>
      <c r="L1076" s="157"/>
      <c r="M1076" s="157"/>
      <c r="N1076" s="157"/>
      <c r="O1076" s="157"/>
      <c r="P1076" s="157"/>
      <c r="Q1076" s="585"/>
    </row>
    <row r="1077" spans="2:17" ht="12.75">
      <c r="B1077" s="515"/>
      <c r="C1077" s="516"/>
      <c r="D1077" s="516"/>
      <c r="E1077" s="570"/>
      <c r="F1077" s="516"/>
      <c r="G1077" s="531"/>
      <c r="H1077" s="516"/>
      <c r="I1077" s="531"/>
      <c r="J1077" s="571"/>
      <c r="K1077" s="287"/>
      <c r="L1077" s="157"/>
      <c r="M1077" s="157"/>
      <c r="N1077" s="157"/>
      <c r="O1077" s="157"/>
      <c r="P1077" s="157"/>
      <c r="Q1077" s="585"/>
    </row>
    <row r="1078" spans="2:17" ht="12.75">
      <c r="B1078" s="515"/>
      <c r="C1078" s="516"/>
      <c r="D1078" s="516"/>
      <c r="E1078" s="570"/>
      <c r="F1078" s="516"/>
      <c r="G1078" s="531"/>
      <c r="H1078" s="516"/>
      <c r="I1078" s="531"/>
      <c r="J1078" s="571"/>
      <c r="K1078" s="287"/>
      <c r="L1078" s="157"/>
      <c r="M1078" s="157"/>
      <c r="N1078" s="157"/>
      <c r="O1078" s="157"/>
      <c r="P1078" s="157"/>
      <c r="Q1078" s="585"/>
    </row>
    <row r="1079" spans="2:17" ht="12.75">
      <c r="B1079" s="515"/>
      <c r="C1079" s="516"/>
      <c r="D1079" s="516"/>
      <c r="E1079" s="570"/>
      <c r="F1079" s="516"/>
      <c r="G1079" s="531"/>
      <c r="H1079" s="516"/>
      <c r="I1079" s="531"/>
      <c r="J1079" s="571"/>
      <c r="K1079" s="287"/>
      <c r="L1079" s="157"/>
      <c r="M1079" s="157"/>
      <c r="N1079" s="157"/>
      <c r="O1079" s="157"/>
      <c r="P1079" s="157"/>
      <c r="Q1079" s="585"/>
    </row>
    <row r="1080" spans="2:17" ht="12.75">
      <c r="B1080" s="515"/>
      <c r="C1080" s="516"/>
      <c r="D1080" s="516"/>
      <c r="E1080" s="570"/>
      <c r="F1080" s="516"/>
      <c r="G1080" s="531"/>
      <c r="H1080" s="516"/>
      <c r="I1080" s="531"/>
      <c r="J1080" s="571"/>
      <c r="K1080" s="287"/>
      <c r="L1080" s="157"/>
      <c r="M1080" s="157"/>
      <c r="N1080" s="157"/>
      <c r="O1080" s="157"/>
      <c r="P1080" s="157"/>
      <c r="Q1080" s="585"/>
    </row>
    <row r="1081" spans="2:17" ht="12.75">
      <c r="B1081" s="515"/>
      <c r="C1081" s="516"/>
      <c r="D1081" s="516"/>
      <c r="E1081" s="570"/>
      <c r="F1081" s="516"/>
      <c r="G1081" s="531"/>
      <c r="H1081" s="516"/>
      <c r="I1081" s="531"/>
      <c r="J1081" s="571"/>
      <c r="K1081" s="287"/>
      <c r="L1081" s="157"/>
      <c r="M1081" s="157"/>
      <c r="N1081" s="157"/>
      <c r="O1081" s="157"/>
      <c r="P1081" s="157"/>
      <c r="Q1081" s="585"/>
    </row>
    <row r="1082" spans="2:17" ht="12.75">
      <c r="B1082" s="515"/>
      <c r="C1082" s="516"/>
      <c r="D1082" s="516"/>
      <c r="E1082" s="570"/>
      <c r="F1082" s="516"/>
      <c r="G1082" s="531"/>
      <c r="H1082" s="516"/>
      <c r="I1082" s="531"/>
      <c r="J1082" s="571"/>
      <c r="K1082" s="287"/>
      <c r="L1082" s="157"/>
      <c r="M1082" s="157"/>
      <c r="N1082" s="157"/>
      <c r="O1082" s="157"/>
      <c r="P1082" s="157"/>
      <c r="Q1082" s="585"/>
    </row>
    <row r="1083" spans="2:17" ht="12.75">
      <c r="B1083" s="515"/>
      <c r="C1083" s="516"/>
      <c r="D1083" s="516"/>
      <c r="E1083" s="570"/>
      <c r="F1083" s="516"/>
      <c r="G1083" s="531"/>
      <c r="H1083" s="516"/>
      <c r="I1083" s="531"/>
      <c r="J1083" s="571"/>
      <c r="K1083" s="287"/>
      <c r="L1083" s="157"/>
      <c r="M1083" s="157"/>
      <c r="N1083" s="157"/>
      <c r="O1083" s="157"/>
      <c r="P1083" s="157"/>
      <c r="Q1083" s="585"/>
    </row>
    <row r="1084" spans="2:17" ht="12.75">
      <c r="B1084" s="515"/>
      <c r="C1084" s="516"/>
      <c r="D1084" s="516"/>
      <c r="E1084" s="570"/>
      <c r="F1084" s="516"/>
      <c r="G1084" s="531"/>
      <c r="H1084" s="516"/>
      <c r="I1084" s="531"/>
      <c r="J1084" s="571"/>
      <c r="K1084" s="287"/>
      <c r="L1084" s="157"/>
      <c r="M1084" s="157"/>
      <c r="N1084" s="157"/>
      <c r="O1084" s="157"/>
      <c r="P1084" s="157"/>
      <c r="Q1084" s="585"/>
    </row>
    <row r="1085" spans="2:17" ht="12.75">
      <c r="B1085" s="515"/>
      <c r="C1085" s="516"/>
      <c r="D1085" s="516"/>
      <c r="E1085" s="570"/>
      <c r="F1085" s="516"/>
      <c r="G1085" s="531"/>
      <c r="H1085" s="516"/>
      <c r="I1085" s="531"/>
      <c r="J1085" s="571"/>
      <c r="K1085" s="287"/>
      <c r="L1085" s="157"/>
      <c r="M1085" s="157"/>
      <c r="N1085" s="157"/>
      <c r="O1085" s="157"/>
      <c r="P1085" s="157"/>
      <c r="Q1085" s="585"/>
    </row>
    <row r="1086" spans="2:17" ht="12.75">
      <c r="B1086" s="515"/>
      <c r="C1086" s="516"/>
      <c r="D1086" s="516"/>
      <c r="E1086" s="570"/>
      <c r="F1086" s="516"/>
      <c r="G1086" s="531"/>
      <c r="H1086" s="516"/>
      <c r="I1086" s="531"/>
      <c r="J1086" s="571"/>
      <c r="K1086" s="287"/>
      <c r="L1086" s="157"/>
      <c r="M1086" s="157"/>
      <c r="N1086" s="157"/>
      <c r="O1086" s="157"/>
      <c r="P1086" s="157"/>
      <c r="Q1086" s="585"/>
    </row>
    <row r="1087" spans="2:17" ht="12.75">
      <c r="B1087" s="515"/>
      <c r="C1087" s="516"/>
      <c r="D1087" s="516"/>
      <c r="E1087" s="570"/>
      <c r="F1087" s="516"/>
      <c r="G1087" s="531"/>
      <c r="H1087" s="516"/>
      <c r="I1087" s="531"/>
      <c r="J1087" s="571"/>
      <c r="K1087" s="287"/>
      <c r="L1087" s="157"/>
      <c r="M1087" s="157"/>
      <c r="N1087" s="157"/>
      <c r="O1087" s="157"/>
      <c r="P1087" s="157"/>
      <c r="Q1087" s="585"/>
    </row>
    <row r="1088" spans="2:17" ht="12.75">
      <c r="B1088" s="515"/>
      <c r="C1088" s="516"/>
      <c r="D1088" s="516"/>
      <c r="E1088" s="570"/>
      <c r="F1088" s="516"/>
      <c r="G1088" s="531"/>
      <c r="H1088" s="516"/>
      <c r="I1088" s="531"/>
      <c r="J1088" s="571"/>
      <c r="K1088" s="287"/>
      <c r="L1088" s="157"/>
      <c r="M1088" s="157"/>
      <c r="N1088" s="157"/>
      <c r="O1088" s="157"/>
      <c r="P1088" s="157"/>
      <c r="Q1088" s="585"/>
    </row>
    <row r="1089" spans="2:17" ht="12.75">
      <c r="B1089" s="515"/>
      <c r="C1089" s="516"/>
      <c r="D1089" s="516"/>
      <c r="E1089" s="570"/>
      <c r="F1089" s="516"/>
      <c r="G1089" s="531"/>
      <c r="H1089" s="516"/>
      <c r="I1089" s="531"/>
      <c r="J1089" s="571"/>
      <c r="K1089" s="287"/>
      <c r="L1089" s="157"/>
      <c r="M1089" s="157"/>
      <c r="N1089" s="157"/>
      <c r="O1089" s="157"/>
      <c r="P1089" s="157"/>
      <c r="Q1089" s="585"/>
    </row>
    <row r="1090" spans="2:17" ht="12.75">
      <c r="B1090" s="515"/>
      <c r="C1090" s="516"/>
      <c r="D1090" s="516"/>
      <c r="E1090" s="570"/>
      <c r="F1090" s="516"/>
      <c r="G1090" s="531"/>
      <c r="H1090" s="516"/>
      <c r="I1090" s="531"/>
      <c r="J1090" s="571"/>
      <c r="K1090" s="287"/>
      <c r="L1090" s="157"/>
      <c r="M1090" s="157"/>
      <c r="N1090" s="157"/>
      <c r="O1090" s="157"/>
      <c r="P1090" s="157"/>
      <c r="Q1090" s="585"/>
    </row>
    <row r="1091" spans="2:17" ht="12.75">
      <c r="B1091" s="515"/>
      <c r="C1091" s="516"/>
      <c r="D1091" s="516"/>
      <c r="E1091" s="570"/>
      <c r="F1091" s="516"/>
      <c r="G1091" s="531"/>
      <c r="H1091" s="516"/>
      <c r="I1091" s="531"/>
      <c r="J1091" s="571"/>
      <c r="K1091" s="287"/>
      <c r="L1091" s="157"/>
      <c r="M1091" s="157"/>
      <c r="N1091" s="157"/>
      <c r="O1091" s="157"/>
      <c r="P1091" s="157"/>
      <c r="Q1091" s="585"/>
    </row>
    <row r="1092" spans="2:17" ht="12.75">
      <c r="B1092" s="515"/>
      <c r="C1092" s="516"/>
      <c r="D1092" s="516"/>
      <c r="E1092" s="570"/>
      <c r="F1092" s="516"/>
      <c r="G1092" s="531"/>
      <c r="H1092" s="516"/>
      <c r="I1092" s="531"/>
      <c r="J1092" s="571"/>
      <c r="K1092" s="287"/>
      <c r="L1092" s="157"/>
      <c r="M1092" s="157"/>
      <c r="N1092" s="157"/>
      <c r="O1092" s="157"/>
      <c r="P1092" s="157"/>
      <c r="Q1092" s="585"/>
    </row>
    <row r="1093" spans="2:17" ht="12.75">
      <c r="B1093" s="515"/>
      <c r="C1093" s="516"/>
      <c r="D1093" s="516"/>
      <c r="E1093" s="570"/>
      <c r="F1093" s="516"/>
      <c r="G1093" s="531"/>
      <c r="H1093" s="516"/>
      <c r="I1093" s="531"/>
      <c r="J1093" s="571"/>
      <c r="K1093" s="287"/>
      <c r="L1093" s="157"/>
      <c r="M1093" s="157"/>
      <c r="N1093" s="157"/>
      <c r="O1093" s="157"/>
      <c r="P1093" s="157"/>
      <c r="Q1093" s="585"/>
    </row>
    <row r="1094" spans="2:17" ht="12.75">
      <c r="B1094" s="515"/>
      <c r="C1094" s="516"/>
      <c r="D1094" s="516"/>
      <c r="E1094" s="570"/>
      <c r="F1094" s="516"/>
      <c r="G1094" s="531"/>
      <c r="H1094" s="516"/>
      <c r="I1094" s="531"/>
      <c r="J1094" s="571"/>
      <c r="K1094" s="287"/>
      <c r="L1094" s="157"/>
      <c r="M1094" s="157"/>
      <c r="N1094" s="157"/>
      <c r="O1094" s="157"/>
      <c r="P1094" s="157"/>
      <c r="Q1094" s="585"/>
    </row>
  </sheetData>
  <sheetProtection sheet="1" objects="1" scenarios="1"/>
  <mergeCells count="1">
    <mergeCell ref="H2:I2"/>
  </mergeCells>
  <conditionalFormatting sqref="K874:K929 K828:K870 K775:K795 K514:K537 K644:K664 K668:K707 K799:K824 K541:K558 K586:K640 K711:K732 K562:K582 K736:K771 K103:K150 K239:K261 K265:K332 K375:K401 K438:K468 K8:K32 K154:K235 K36:K99 K405:K434 K472:K510 K336:K371">
    <cfRule type="expression" priority="1" dxfId="0" stopIfTrue="1">
      <formula>ESTIMAT!#REF!=mva</formula>
    </cfRule>
  </conditionalFormatting>
  <conditionalFormatting sqref="P8:P32 P36:P99 P103:P150 P154:P235 P239:P261 P265:P332 P336:P371 P375:P401 P405:P434 P438:P468 P472:P510 P514:P537 P541:P558 P562:P582 P586:P640 P644:P664 P668:P707 P711:P732 P736:P771 P775:P795 P799:P824 P828:P870 P874:P929 P933">
    <cfRule type="cellIs" priority="3" dxfId="1" operator="greaterThan" stopIfTrue="1">
      <formula>ESTIMAT!#REF!+1</formula>
    </cfRule>
  </conditionalFormatting>
  <dataValidations count="4">
    <dataValidation type="custom" allowBlank="1" showInputMessage="1" showErrorMessage="1" error="Du har allerede lagt inn MVA på denne posten!&#10;&#10;Slette eventuelt mva i X kolonnen." sqref="K472:K510 K405:K434 K154:K235 K36:K99 K438:K468 K103:K150 K375:K401 K265:K332 K239:K261 K20 K336:K371 K828:K870 K514:K537 K644:K664 K668:K707 K799:K824 K541:K558 K586:K640 K711:K732 K562:K582 K736:K771 K775:K795 K874:K929">
      <formula1>X&lt;&gt;mva</formula1>
    </dataValidation>
    <dataValidation errorStyle="information" type="custom" allowBlank="1" showInputMessage="1" showErrorMessage="1" errorTitle="ADVARSEL" error="Det er allerede krysset av for MVA på denne posten.&#10;&#10;Om du likevel vil legge inn noe her, velg &quot; OK&quot;" sqref="E472:E510 E265:E332 E239:E261 E103:E150 E36:E99 E405:E434 E154:E235 E8:E32 E438:E468 E375:E401 E336:E371 E514:E537 E644:E649 E541:E558 E828:E870 E654:E660 E662 E664 E668:E707 E799:E824 E586:E640 E711:E732 E562:E582 E736:E771 E775:E795 E874:E929">
      <formula1>ESTIMAT!K472=""</formula1>
    </dataValidation>
    <dataValidation type="custom" allowBlank="1" showInputMessage="1" showErrorMessage="1" errorTitle="ADVARSEL" error="Du har allerede lagt inn MVA på denne posten!&#10;&#10;Slett eventuelt MVA i X kolonnen." sqref="K21:K32 K8:K19">
      <formula1>X&lt;&gt;mva</formula1>
    </dataValidation>
    <dataValidation allowBlank="1" showInputMessage="1" showErrorMessage="1" error="Du kan kun legge inn tall her!" sqref="D16"/>
  </dataValidations>
  <printOptions/>
  <pageMargins left="0.5905511811023623" right="0.15748031496062992" top="0.5905511811023623" bottom="0.5905511811023623" header="0.2362204724409449" footer="0.15748031496062992"/>
  <pageSetup blackAndWhite="1" fitToHeight="0" fitToWidth="1" horizontalDpi="600" verticalDpi="600" orientation="portrait" paperSize="9" scale="82" r:id="rId3"/>
  <headerFooter alignWithMargins="0">
    <oddHeader>&amp;CSLUTTKOSTNADSESTIMAT</oddHeader>
    <oddFooter>&amp;L&amp;7Norsk filminstitutt filmkalkyle v. 8 av 20.03.13&amp;C&amp;"Arial,Normal"&amp;7Utskrevet: &amp;D &amp; kl &amp;T&amp;R&amp;"Arial,Normal"&amp;7Sluttkostnadsestimat   Side &amp;P av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Norsk Filmfond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Kalkyleskjema med kostnadsoppfølging</dc:title>
  <dc:subject/>
  <dc:creator>Odd Ween</dc:creator>
  <cp:keywords/>
  <dc:description/>
  <cp:lastModifiedBy>Odd Ween</cp:lastModifiedBy>
  <cp:lastPrinted>2012-01-10T12:10:38Z</cp:lastPrinted>
  <dcterms:created xsi:type="dcterms:W3CDTF">1999-03-30T19:47:29Z</dcterms:created>
  <dcterms:modified xsi:type="dcterms:W3CDTF">2013-03-21T11:23:21Z</dcterms:modified>
  <cp:category/>
  <cp:version/>
  <cp:contentType/>
  <cp:contentStatus/>
</cp:coreProperties>
</file>